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G:\My Drive\P2P\Advance Partys\"/>
    </mc:Choice>
  </mc:AlternateContent>
  <xr:revisionPtr revIDLastSave="0" documentId="8_{2AA4B6DE-F602-498B-BF26-59F6C5BE1B15}" xr6:coauthVersionLast="40" xr6:coauthVersionMax="40" xr10:uidLastSave="{00000000-0000-0000-0000-000000000000}"/>
  <bookViews>
    <workbookView xWindow="0" yWindow="0" windowWidth="28800" windowHeight="12165" tabRatio="696" activeTab="1" xr2:uid="{00000000-000D-0000-FFFF-FFFF00000000}"/>
  </bookViews>
  <sheets>
    <sheet name="Notes to read" sheetId="9" r:id="rId1"/>
    <sheet name="Summary" sheetId="1" r:id="rId2"/>
    <sheet name="Sheet1" sheetId="4" state="hidden" r:id="rId3"/>
    <sheet name="Basic Farm Data" sheetId="8" r:id="rId4"/>
    <sheet name="Winter Crop Costs" sheetId="2" r:id="rId5"/>
    <sheet name="Tractor Costs" sheetId="3" r:id="rId6"/>
    <sheet name="Bought In Feed Costs" sheetId="5" r:id="rId7"/>
    <sheet name="Own Conservation" sheetId="6" r:id="rId8"/>
    <sheet name="Capital Improvements" sheetId="7" r:id="rId9"/>
  </sheets>
  <definedNames>
    <definedName name="_xlnm.Print_Area" localSheetId="1">Summary!$A$1:$E$100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4" i="2" l="1"/>
  <c r="I25" i="2"/>
  <c r="I4" i="2"/>
  <c r="E15" i="8"/>
  <c r="C56" i="2"/>
  <c r="D56" i="2"/>
  <c r="E56" i="2"/>
  <c r="B56" i="2"/>
  <c r="C38" i="2"/>
  <c r="D38" i="2"/>
  <c r="E38" i="2"/>
  <c r="B38" i="2"/>
  <c r="C19" i="2"/>
  <c r="D19" i="2"/>
  <c r="D21" i="2" s="1"/>
  <c r="D74" i="1" s="1"/>
  <c r="E19" i="2"/>
  <c r="F19" i="2"/>
  <c r="B19" i="2"/>
  <c r="P31" i="3"/>
  <c r="J31" i="3"/>
  <c r="D31" i="3"/>
  <c r="A3" i="1"/>
  <c r="A2" i="1"/>
  <c r="F51" i="6"/>
  <c r="F52" i="6" s="1"/>
  <c r="G31" i="6"/>
  <c r="G32" i="6" s="1"/>
  <c r="F31" i="6"/>
  <c r="F32" i="6" s="1"/>
  <c r="G7" i="6"/>
  <c r="G8" i="6" s="1"/>
  <c r="F7" i="6"/>
  <c r="F8" i="6" s="1"/>
  <c r="F18" i="6"/>
  <c r="F19" i="6" s="1"/>
  <c r="B23" i="8"/>
  <c r="E14" i="8"/>
  <c r="B14" i="3"/>
  <c r="B58" i="6" l="1"/>
  <c r="E36" i="1" s="1"/>
  <c r="B44" i="6"/>
  <c r="E35" i="1" s="1"/>
  <c r="B43" i="6"/>
  <c r="E34" i="1" s="1"/>
  <c r="B24" i="6"/>
  <c r="E33" i="1" s="1"/>
  <c r="C11" i="6"/>
  <c r="E32" i="1" s="1"/>
  <c r="B11" i="6"/>
  <c r="E31" i="1" s="1"/>
  <c r="D90" i="1"/>
  <c r="B89" i="1"/>
  <c r="B88" i="1"/>
  <c r="F4" i="6"/>
  <c r="F3" i="6"/>
  <c r="I5" i="2"/>
  <c r="F26" i="6"/>
  <c r="F27" i="6" s="1"/>
  <c r="F47" i="6"/>
  <c r="F48" i="6" s="1"/>
  <c r="F14" i="6"/>
  <c r="F15" i="6" s="1"/>
  <c r="I45" i="2"/>
  <c r="I26" i="2"/>
  <c r="J11" i="5"/>
  <c r="J10" i="5"/>
  <c r="J9" i="5"/>
  <c r="J8" i="5"/>
  <c r="J7" i="5"/>
  <c r="J5" i="5"/>
  <c r="J6" i="5"/>
  <c r="J4" i="5"/>
  <c r="I10" i="5"/>
  <c r="I11" i="5"/>
  <c r="I9" i="5"/>
  <c r="I8" i="5"/>
  <c r="I7" i="5"/>
  <c r="I5" i="5"/>
  <c r="I6" i="5"/>
  <c r="I4" i="5"/>
  <c r="B32" i="7"/>
  <c r="E41" i="1" s="1"/>
  <c r="B31" i="7"/>
  <c r="E40" i="1" s="1"/>
  <c r="B20" i="5"/>
  <c r="B19" i="5"/>
  <c r="B18" i="5"/>
  <c r="F23" i="5"/>
  <c r="F24" i="5"/>
  <c r="N36" i="3"/>
  <c r="P29" i="3"/>
  <c r="P30" i="3" s="1"/>
  <c r="N25" i="3"/>
  <c r="N24" i="3"/>
  <c r="N14" i="3"/>
  <c r="N37" i="3" s="1"/>
  <c r="H14" i="3"/>
  <c r="H37" i="3" s="1"/>
  <c r="B37" i="3"/>
  <c r="H36" i="3"/>
  <c r="J29" i="3"/>
  <c r="J30" i="3" s="1"/>
  <c r="H25" i="3"/>
  <c r="H24" i="3"/>
  <c r="F26" i="5"/>
  <c r="G26" i="5" s="1"/>
  <c r="H26" i="5" s="1"/>
  <c r="F20" i="5"/>
  <c r="F21" i="5"/>
  <c r="F22" i="5"/>
  <c r="F25" i="5"/>
  <c r="F19" i="5"/>
  <c r="B36" i="3"/>
  <c r="D29" i="3"/>
  <c r="D30" i="3" s="1"/>
  <c r="B24" i="3"/>
  <c r="B25" i="3"/>
  <c r="P26" i="3" l="1"/>
  <c r="E55" i="1"/>
  <c r="J26" i="3"/>
  <c r="B21" i="2"/>
  <c r="D66" i="1" s="1"/>
  <c r="B20" i="2"/>
  <c r="B66" i="1" s="1"/>
  <c r="B6" i="1"/>
  <c r="C21" i="2"/>
  <c r="D70" i="1" s="1"/>
  <c r="C20" i="2"/>
  <c r="B70" i="1" s="1"/>
  <c r="C6" i="1"/>
  <c r="C40" i="2"/>
  <c r="C39" i="2"/>
  <c r="B71" i="1" s="1"/>
  <c r="D6" i="1"/>
  <c r="C57" i="2"/>
  <c r="B72" i="1" s="1"/>
  <c r="C58" i="2"/>
  <c r="D72" i="1" s="1"/>
  <c r="F20" i="2"/>
  <c r="B82" i="1" s="1"/>
  <c r="F21" i="2"/>
  <c r="B7" i="1"/>
  <c r="D20" i="2"/>
  <c r="B74" i="1" s="1"/>
  <c r="D7" i="1"/>
  <c r="D57" i="2"/>
  <c r="B76" i="1" s="1"/>
  <c r="D58" i="2"/>
  <c r="E20" i="2"/>
  <c r="B78" i="1" s="1"/>
  <c r="E21" i="2"/>
  <c r="D78" i="1" s="1"/>
  <c r="E57" i="2"/>
  <c r="B80" i="1" s="1"/>
  <c r="E58" i="2"/>
  <c r="D80" i="1" s="1"/>
  <c r="D5" i="1"/>
  <c r="B57" i="2"/>
  <c r="B58" i="2"/>
  <c r="D68" i="1" s="1"/>
  <c r="D26" i="3"/>
  <c r="G25" i="5"/>
  <c r="H25" i="5" s="1"/>
  <c r="D99" i="1" s="1"/>
  <c r="G24" i="5"/>
  <c r="H24" i="5" s="1"/>
  <c r="D98" i="1" s="1"/>
  <c r="G23" i="5"/>
  <c r="H23" i="5" s="1"/>
  <c r="D97" i="1" s="1"/>
  <c r="G22" i="5"/>
  <c r="H22" i="5" s="1"/>
  <c r="D96" i="1" s="1"/>
  <c r="G21" i="5"/>
  <c r="H21" i="5" s="1"/>
  <c r="D95" i="1" s="1"/>
  <c r="G19" i="5"/>
  <c r="H19" i="5" s="1"/>
  <c r="D93" i="1" s="1"/>
  <c r="G20" i="5"/>
  <c r="H20" i="5" s="1"/>
  <c r="D94" i="1" s="1"/>
  <c r="C7" i="1"/>
  <c r="D40" i="2"/>
  <c r="D75" i="1" s="1"/>
  <c r="D39" i="2"/>
  <c r="B75" i="1" s="1"/>
  <c r="C5" i="1"/>
  <c r="B40" i="2"/>
  <c r="D67" i="1" s="1"/>
  <c r="B39" i="2"/>
  <c r="B67" i="1" s="1"/>
  <c r="C8" i="1"/>
  <c r="E39" i="2"/>
  <c r="B79" i="1" s="1"/>
  <c r="E40" i="2"/>
  <c r="D79" i="1" s="1"/>
  <c r="C15" i="3"/>
  <c r="D16" i="3" s="1"/>
  <c r="D100" i="1"/>
  <c r="B90" i="1"/>
  <c r="D89" i="1"/>
  <c r="D88" i="1"/>
  <c r="E24" i="1"/>
  <c r="E27" i="1"/>
  <c r="E26" i="1"/>
  <c r="E25" i="1"/>
  <c r="E23" i="1"/>
  <c r="E22" i="1"/>
  <c r="I12" i="5"/>
  <c r="E57" i="1" s="1"/>
  <c r="J12" i="5"/>
  <c r="E21" i="1"/>
  <c r="E20" i="1"/>
  <c r="D8" i="1"/>
  <c r="D76" i="1"/>
  <c r="B68" i="1"/>
  <c r="D71" i="1"/>
  <c r="B8" i="1"/>
  <c r="D82" i="1"/>
  <c r="B9" i="1"/>
  <c r="B5" i="1"/>
  <c r="O15" i="3"/>
  <c r="P16" i="3" s="1"/>
  <c r="O39" i="3"/>
  <c r="O40" i="3" s="1"/>
  <c r="P41" i="3" s="1"/>
  <c r="I15" i="3"/>
  <c r="J16" i="3" s="1"/>
  <c r="I39" i="3"/>
  <c r="I40" i="3" s="1"/>
  <c r="J41" i="3" s="1"/>
  <c r="C39" i="3"/>
  <c r="C40" i="3" s="1"/>
  <c r="D41" i="3" s="1"/>
  <c r="B21" i="5"/>
  <c r="B99" i="1" l="1"/>
  <c r="B98" i="1"/>
  <c r="B97" i="1"/>
  <c r="B96" i="1"/>
  <c r="B94" i="1"/>
  <c r="B95" i="1"/>
  <c r="B93" i="1"/>
  <c r="E11" i="1"/>
  <c r="B100" i="1"/>
  <c r="D87" i="1"/>
  <c r="B87" i="1"/>
  <c r="D86" i="1"/>
  <c r="B86" i="1"/>
  <c r="D85" i="1"/>
  <c r="B85" i="1"/>
  <c r="E59" i="1"/>
  <c r="E48" i="1" s="1"/>
  <c r="P47" i="3"/>
  <c r="P49" i="3" s="1"/>
  <c r="P52" i="3" s="1"/>
  <c r="J47" i="3"/>
  <c r="D47" i="3"/>
  <c r="D49" i="3" l="1"/>
  <c r="D52" i="3" s="1"/>
  <c r="E14" i="1" s="1"/>
  <c r="E44" i="1" s="1"/>
  <c r="E50" i="1" s="1"/>
  <c r="J49" i="3"/>
  <c r="J52" i="3" s="1"/>
  <c r="E46" i="1" l="1"/>
  <c r="E5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Graham</author>
  </authors>
  <commentList>
    <comment ref="C3" authorId="0" shapeId="0" xr:uid="{00000000-0006-0000-0600-000001000000}">
      <text>
        <r>
          <rPr>
            <sz val="9"/>
            <color indexed="81"/>
            <rFont val="Tahoma"/>
            <family val="2"/>
          </rPr>
          <t xml:space="preserve">
Put in cost per t</t>
        </r>
      </text>
    </comment>
    <comment ref="D3" authorId="0" shapeId="0" xr:uid="{00000000-0006-0000-0600-000002000000}">
      <text>
        <r>
          <rPr>
            <sz val="9"/>
            <color indexed="81"/>
            <rFont val="Tahoma"/>
            <family val="2"/>
          </rPr>
          <t xml:space="preserve">Put in the total freight cost for all feed carted
</t>
        </r>
      </text>
    </comment>
    <comment ref="E3" authorId="0" shapeId="0" xr:uid="{00000000-0006-0000-0600-000003000000}">
      <text>
        <r>
          <rPr>
            <sz val="9"/>
            <color indexed="81"/>
            <rFont val="Tahoma"/>
            <family val="2"/>
          </rPr>
          <t xml:space="preserve">Change if necessary
</t>
        </r>
      </text>
    </comment>
    <comment ref="F3" authorId="0" shapeId="0" xr:uid="{00000000-0006-0000-0600-000004000000}">
      <text>
        <r>
          <rPr>
            <sz val="9"/>
            <color indexed="81"/>
            <rFont val="Tahoma"/>
            <family val="2"/>
          </rPr>
          <t xml:space="preserve">Change if necessary
</t>
        </r>
      </text>
    </comment>
    <comment ref="G3" authorId="0" shapeId="0" xr:uid="{00000000-0006-0000-0600-000005000000}">
      <text>
        <r>
          <rPr>
            <sz val="9"/>
            <color indexed="81"/>
            <rFont val="Tahoma"/>
            <family val="2"/>
          </rPr>
          <t xml:space="preserve">Change if necessary
</t>
        </r>
      </text>
    </comment>
    <comment ref="H3" authorId="0" shapeId="0" xr:uid="{00000000-0006-0000-0600-000006000000}">
      <text>
        <r>
          <rPr>
            <sz val="9"/>
            <color indexed="81"/>
            <rFont val="Tahoma"/>
            <family val="2"/>
          </rPr>
          <t xml:space="preserve">Just estimate what it cost to feed out for the whole winter.
</t>
        </r>
      </text>
    </comment>
  </commentList>
</comments>
</file>

<file path=xl/sharedStrings.xml><?xml version="1.0" encoding="utf-8"?>
<sst xmlns="http://schemas.openxmlformats.org/spreadsheetml/2006/main" count="453" uniqueCount="271">
  <si>
    <t>Winter Crop Costs</t>
  </si>
  <si>
    <t>Tractor Operating Cost Calculations</t>
  </si>
  <si>
    <t>kw</t>
  </si>
  <si>
    <t>KW</t>
  </si>
  <si>
    <t>Fuel cost</t>
  </si>
  <si>
    <t>per L</t>
  </si>
  <si>
    <t>Insurance cost</t>
  </si>
  <si>
    <t>P.A.</t>
  </si>
  <si>
    <t>Economic life</t>
  </si>
  <si>
    <t>Hours per year</t>
  </si>
  <si>
    <t>Depreciation (straight line)</t>
  </si>
  <si>
    <t>Capital Cost</t>
  </si>
  <si>
    <t>Less resale value (25% original cost)</t>
  </si>
  <si>
    <t>Depreciation</t>
  </si>
  <si>
    <t>Depreciation per hour</t>
  </si>
  <si>
    <t>Repairs and Maintainance</t>
  </si>
  <si>
    <t>Hours</t>
  </si>
  <si>
    <t>Total R &amp; M (80% of capital cost)</t>
  </si>
  <si>
    <t xml:space="preserve">R &amp; M per hour </t>
  </si>
  <si>
    <t>Other Running Costs ( per hour)</t>
  </si>
  <si>
    <t>Fuel (0.24L/Kwhr)</t>
  </si>
  <si>
    <t>Interest</t>
  </si>
  <si>
    <t>Capital cost</t>
  </si>
  <si>
    <t>Add resale value</t>
  </si>
  <si>
    <t>Divide by 2 = average annual investment</t>
  </si>
  <si>
    <t>Driver</t>
  </si>
  <si>
    <t>Cost per hour</t>
  </si>
  <si>
    <t>Insurance/hr</t>
  </si>
  <si>
    <t>Oil (16% fuel cost)/hr</t>
  </si>
  <si>
    <t>Annual interest cost at 6%</t>
  </si>
  <si>
    <t>Interest cost per average annual hrs worked</t>
  </si>
  <si>
    <t>Feed</t>
  </si>
  <si>
    <t>Silage</t>
  </si>
  <si>
    <t>Freight</t>
  </si>
  <si>
    <t>DM%</t>
  </si>
  <si>
    <t>Quantity</t>
  </si>
  <si>
    <t>ME/kgDM</t>
  </si>
  <si>
    <t>Costs to buy ex store</t>
  </si>
  <si>
    <t>Deer Nuts (t)</t>
  </si>
  <si>
    <t>Barley (t)</t>
  </si>
  <si>
    <t>PKE (t)</t>
  </si>
  <si>
    <t>Silage (wet t)</t>
  </si>
  <si>
    <t>Estimate of total</t>
  </si>
  <si>
    <t>Feed out costs</t>
  </si>
  <si>
    <t>Total Costs Bought In Feed</t>
  </si>
  <si>
    <t>Summary of Wintering Costs</t>
  </si>
  <si>
    <t>Total</t>
  </si>
  <si>
    <t>Hay</t>
  </si>
  <si>
    <t>Cost</t>
  </si>
  <si>
    <t>Cost ex store/t</t>
  </si>
  <si>
    <t>Hay (no. bales)</t>
  </si>
  <si>
    <t>Utilisation %</t>
  </si>
  <si>
    <t>Total Cost Bought In Feed</t>
  </si>
  <si>
    <t>cents/kgDM</t>
  </si>
  <si>
    <t>cents/ME</t>
  </si>
  <si>
    <t>$ Freight/t or bale</t>
  </si>
  <si>
    <t>cost to feed out (whole winter)</t>
  </si>
  <si>
    <t>Bought In Feed Costs</t>
  </si>
  <si>
    <t>Assumed kgDM per bale</t>
  </si>
  <si>
    <t>change if necessary</t>
  </si>
  <si>
    <t xml:space="preserve">Hay </t>
  </si>
  <si>
    <t xml:space="preserve">                Cost of Feed  Consumed</t>
  </si>
  <si>
    <t>Tractor ID</t>
  </si>
  <si>
    <t>Tractor 1</t>
  </si>
  <si>
    <t>Tractor 2</t>
  </si>
  <si>
    <t>Total Direct Cost /hr (Tractor)</t>
  </si>
  <si>
    <t>Implement Direct Costs/hr (20% of tractor cost)</t>
  </si>
  <si>
    <t>Annual hours for winter program</t>
  </si>
  <si>
    <t>Total Annual Cost for Winter Program</t>
  </si>
  <si>
    <t>Tractor 3</t>
  </si>
  <si>
    <t>Swedes</t>
  </si>
  <si>
    <t>Kale</t>
  </si>
  <si>
    <t>Turnips</t>
  </si>
  <si>
    <t>Rape</t>
  </si>
  <si>
    <t>Grass Balage  (no.bales)</t>
  </si>
  <si>
    <t>Whole Crop Balage (no.bales)</t>
  </si>
  <si>
    <t>Lucerne Balage (no. bales)</t>
  </si>
  <si>
    <t>Lucerne balage</t>
  </si>
  <si>
    <t>Whole Crop balage</t>
  </si>
  <si>
    <t>Grass Balage</t>
  </si>
  <si>
    <t>Fodder Beet</t>
  </si>
  <si>
    <t>Area sown (ha)</t>
  </si>
  <si>
    <t>Initial herbicide/ha</t>
  </si>
  <si>
    <t>Seed/ha</t>
  </si>
  <si>
    <t>Pre plant herbicide/ha</t>
  </si>
  <si>
    <t>Insecticide/ha</t>
  </si>
  <si>
    <t>Post plant herbicide/ha</t>
  </si>
  <si>
    <t>Aphids/ha</t>
  </si>
  <si>
    <t>Follow up Urea/ha</t>
  </si>
  <si>
    <t>(Include any contractors charges for any operations)</t>
  </si>
  <si>
    <t>Cultivation (contract only)</t>
  </si>
  <si>
    <t>(Note: own cultivation covered under tractor costs)</t>
  </si>
  <si>
    <t>Fertiliser and Lime/ha</t>
  </si>
  <si>
    <t>Yield tDM/ha</t>
  </si>
  <si>
    <t>Drilling or bulky/ha</t>
  </si>
  <si>
    <t>Direct Drilling</t>
  </si>
  <si>
    <t xml:space="preserve">Conventional Cultivation </t>
  </si>
  <si>
    <t>Drilling /ha</t>
  </si>
  <si>
    <t>Slugs/ha</t>
  </si>
  <si>
    <t>Spray and Oversow</t>
  </si>
  <si>
    <t>Oversow costs/ha</t>
  </si>
  <si>
    <t>Balage</t>
  </si>
  <si>
    <t>Area (ha)</t>
  </si>
  <si>
    <t xml:space="preserve">Own Conservation </t>
  </si>
  <si>
    <t>Cost per bale - contractor, all operations</t>
  </si>
  <si>
    <t>Conservation fertiliser at $11/bale</t>
  </si>
  <si>
    <t>ME</t>
  </si>
  <si>
    <t>Pasture Silage</t>
  </si>
  <si>
    <t>Ensiling loss</t>
  </si>
  <si>
    <t>Cost per tonne - contractor all operations</t>
  </si>
  <si>
    <t>Cover</t>
  </si>
  <si>
    <t>Conservation fertiliser -$18/t</t>
  </si>
  <si>
    <t>Ensiling loss %</t>
  </si>
  <si>
    <t>Cereal Whole Crop (balage or silage)</t>
  </si>
  <si>
    <t>Contactors cost/ha - cultivation, drilling</t>
  </si>
  <si>
    <t>Herbicide/ha incl. contract application</t>
  </si>
  <si>
    <t>Fungicide/ha inc. contract application</t>
  </si>
  <si>
    <t>Contract silage making/t</t>
  </si>
  <si>
    <t>Silage/Balage</t>
  </si>
  <si>
    <t>Pasture Hay and Balage</t>
  </si>
  <si>
    <t>Fertiliser and Lime/ha cost applied</t>
  </si>
  <si>
    <t xml:space="preserve">Conservation fertiliser -$18/t </t>
  </si>
  <si>
    <t>Lucerne Balage</t>
  </si>
  <si>
    <t>Conservation fertiliser -$11/bale</t>
  </si>
  <si>
    <t>Total bales made (assume 230kgDM/bale)</t>
  </si>
  <si>
    <t>Contract baling /bale</t>
  </si>
  <si>
    <t>Annual hours for wintering program include:</t>
  </si>
  <si>
    <t>All mowing, raking and baling hours</t>
  </si>
  <si>
    <t>All balage set out hours</t>
  </si>
  <si>
    <t>All silage feed out hours</t>
  </si>
  <si>
    <t>All balage feed out hours</t>
  </si>
  <si>
    <t>All cultivation, drilling, spraying hours</t>
  </si>
  <si>
    <t xml:space="preserve"> see note below</t>
  </si>
  <si>
    <t>All hours doing anything associated with wintering</t>
  </si>
  <si>
    <t>All hours related to loading/unloading  and shifting balage</t>
  </si>
  <si>
    <t xml:space="preserve">Contract baling/bale </t>
  </si>
  <si>
    <t>Buildings: make a list</t>
  </si>
  <si>
    <t>Pits and bunkers: make a list</t>
  </si>
  <si>
    <t>Book Value</t>
  </si>
  <si>
    <t>Depreciation rate</t>
  </si>
  <si>
    <t>Total annual depreciation</t>
  </si>
  <si>
    <t>Capital Improvements Associated with Wintering (not tractors and machinery)</t>
  </si>
  <si>
    <t>% Use for Wintering</t>
  </si>
  <si>
    <t>Vehicles and other gear (not tractors): make a list</t>
  </si>
  <si>
    <t>Annual Running costs</t>
  </si>
  <si>
    <t>Total annual running costs</t>
  </si>
  <si>
    <t>for Wintering</t>
  </si>
  <si>
    <t>Total Cost/ha</t>
  </si>
  <si>
    <t>Conventional</t>
  </si>
  <si>
    <t>DD</t>
  </si>
  <si>
    <t>Spray/Oversow</t>
  </si>
  <si>
    <t>Total Crop Costs</t>
  </si>
  <si>
    <t>Own Tractor and Gear costs</t>
  </si>
  <si>
    <t>Bought In Feed</t>
  </si>
  <si>
    <t>Own Conservation</t>
  </si>
  <si>
    <t>Pasture Hay</t>
  </si>
  <si>
    <t>Pasture Balage</t>
  </si>
  <si>
    <t>Total Wintering costs</t>
  </si>
  <si>
    <t>Annual Running Costs</t>
  </si>
  <si>
    <t>Basic Farm Data</t>
  </si>
  <si>
    <t>MA hinds</t>
  </si>
  <si>
    <t>1st Calvers</t>
  </si>
  <si>
    <t>R1 weaner hinds</t>
  </si>
  <si>
    <t>R1 weaner stags</t>
  </si>
  <si>
    <t>R2 dry hinds</t>
  </si>
  <si>
    <t>R2 stags</t>
  </si>
  <si>
    <t>Breeding stags</t>
  </si>
  <si>
    <t>MA velvet and breeding stags</t>
  </si>
  <si>
    <t>Venison</t>
  </si>
  <si>
    <t>Velvet</t>
  </si>
  <si>
    <t>Breeding hinds</t>
  </si>
  <si>
    <t xml:space="preserve">Estimate stock numbers </t>
  </si>
  <si>
    <t>Area deer fenced (ha)</t>
  </si>
  <si>
    <t>Weaner sales</t>
  </si>
  <si>
    <t>Economic life (hrs left before traded)</t>
  </si>
  <si>
    <t>Capital value when purchased</t>
  </si>
  <si>
    <t>Wintering Cost as % of Gross Income</t>
  </si>
  <si>
    <t>Cost per hd deer wintered</t>
  </si>
  <si>
    <t>KgDM grown</t>
  </si>
  <si>
    <t>KgDM purchased</t>
  </si>
  <si>
    <t>ME Purchased</t>
  </si>
  <si>
    <t>ME grown</t>
  </si>
  <si>
    <t xml:space="preserve">Total Bales made </t>
  </si>
  <si>
    <t>kgDM per bale</t>
  </si>
  <si>
    <t>ME made</t>
  </si>
  <si>
    <t>KgDM  made</t>
  </si>
  <si>
    <t>KgDM made</t>
  </si>
  <si>
    <t>DM %</t>
  </si>
  <si>
    <t>Total wet tonnes made</t>
  </si>
  <si>
    <t>Total wet tonnes made (silage)</t>
  </si>
  <si>
    <t>KgDM per bale</t>
  </si>
  <si>
    <t>Deer wintered</t>
  </si>
  <si>
    <t>KgDM purchased per hd deer wintered</t>
  </si>
  <si>
    <t>Source of Feed Analysis:</t>
  </si>
  <si>
    <t>Cost/KgDM consumed</t>
  </si>
  <si>
    <t>Cost per ME consumed</t>
  </si>
  <si>
    <t>Swedes - conventional</t>
  </si>
  <si>
    <t>Swedes - direct drill</t>
  </si>
  <si>
    <t>Swedes - spray and OS</t>
  </si>
  <si>
    <t>Kale - conventional</t>
  </si>
  <si>
    <t>Kale - direct drill</t>
  </si>
  <si>
    <t>Kale - spray and OS</t>
  </si>
  <si>
    <t>Turnips - conventional</t>
  </si>
  <si>
    <t>Turnips - direct drill</t>
  </si>
  <si>
    <t>Turnips - spray and OS</t>
  </si>
  <si>
    <t>Rape - conventional</t>
  </si>
  <si>
    <t>Rape - direct drill</t>
  </si>
  <si>
    <t>Rape - spray and OS</t>
  </si>
  <si>
    <t>Fodder beet - conventional</t>
  </si>
  <si>
    <t>Pasture hay</t>
  </si>
  <si>
    <t>Pasture balage</t>
  </si>
  <si>
    <t>Whole crop balage</t>
  </si>
  <si>
    <t>Whole crop silage</t>
  </si>
  <si>
    <t>Purchased Feeds</t>
  </si>
  <si>
    <t>Winter Crop</t>
  </si>
  <si>
    <t>c/kgDM consumed</t>
  </si>
  <si>
    <t>c/ME consumed</t>
  </si>
  <si>
    <t>Pasture silage</t>
  </si>
  <si>
    <t>c/kgME consumed</t>
  </si>
  <si>
    <t>silage</t>
  </si>
  <si>
    <t>Additional annual maintenance/$200 ha</t>
  </si>
  <si>
    <t>Hay &amp; Balage</t>
  </si>
  <si>
    <t>Capital Improvements/Other gear</t>
  </si>
  <si>
    <t>Total costs</t>
  </si>
  <si>
    <t>Total cost  for balage</t>
  </si>
  <si>
    <t>Total cost for silage</t>
  </si>
  <si>
    <t>Whole Crop Balage</t>
  </si>
  <si>
    <t>Whole Crop Silage</t>
  </si>
  <si>
    <t>Total Costs</t>
  </si>
  <si>
    <t>From  annual accounts</t>
  </si>
  <si>
    <t>ha</t>
  </si>
  <si>
    <t>Less resale value (40% original cost)</t>
  </si>
  <si>
    <t>150HP</t>
  </si>
  <si>
    <t>KgDM grown on farm per hd deer wintered  (Crop and pasture conservation)</t>
  </si>
  <si>
    <t>Total KgDM grown and purchased per hd deer wintered</t>
  </si>
  <si>
    <t>Estimated taxable deer gross income for 2016/17</t>
  </si>
  <si>
    <t>Other</t>
  </si>
  <si>
    <t>Farm Name</t>
  </si>
  <si>
    <t>For year</t>
  </si>
  <si>
    <t>2016/17</t>
  </si>
  <si>
    <t>Shortcut (total costs/ha)</t>
  </si>
  <si>
    <t>(Use this row if total costs already known)</t>
  </si>
  <si>
    <t>Shortcut (toal costs/ha)</t>
  </si>
  <si>
    <t>Kg LW wintered</t>
  </si>
  <si>
    <t>Mid winter LW (kg)</t>
  </si>
  <si>
    <t>Kg grown and purchased per 100kg deer LW wintered</t>
  </si>
  <si>
    <t>Other Indices</t>
  </si>
  <si>
    <t>Av. cost per kgDM grown and purchased (c/kgDM)</t>
  </si>
  <si>
    <t>Notes to complete this worksheet.</t>
  </si>
  <si>
    <t>Click on the tabs at the bottom of the spread sheet to work through all the optios</t>
  </si>
  <si>
    <t>You only have to fill out the grey cells and only if they apply to your operation, otherwise just ignore them.</t>
  </si>
  <si>
    <t>The Summary Tab, there is no information to fill in here, it's all calculated from the remaining sheets.</t>
  </si>
  <si>
    <t>In some sheets we have red figures (ME, Utilisation% and DM%). You can change these if your figures are different.</t>
  </si>
  <si>
    <t>Step 1</t>
  </si>
  <si>
    <t>Click on the Basic Farm Data tab and complete. Additional stock classes can be added in lines 12,13 and 14</t>
  </si>
  <si>
    <t>Mid winter liveweight is used to calculate winter feed costs per 100kgLW wintered. This is more relavant than stock unit comparisons as SU relate to the whole year's consumption.</t>
  </si>
  <si>
    <t>Step 2</t>
  </si>
  <si>
    <t>Click on Winter Crop Costs tab. There is a short cut here. If you know the total costs of the inputs, just add that in lines 18, 37 and 55 and ignore the detail.</t>
  </si>
  <si>
    <t>Step 3</t>
  </si>
  <si>
    <t>Own tractor and im;plement costs are covered under Tractor Costs, so don't include these here. But, do put in any contracting costs here.</t>
  </si>
  <si>
    <t>Click on Tractor Costs. There is space to include three tractor seperately. You need to put in total annual hours per tractor and how many of them relate to winter cropping, conservation and feeding</t>
  </si>
  <si>
    <t>Remeber, just the grey cells.</t>
  </si>
  <si>
    <t>Step 4</t>
  </si>
  <si>
    <t>Click on Bought In Feed Costs - fill in grey cells that apply to you. Red assumptions can be changed.</t>
  </si>
  <si>
    <t>Step 5</t>
  </si>
  <si>
    <t>Clicck on the Own Conservation Costs. Same rules, grey cells only, red cells can be changed and just fill in things that are relevant to you, ignore the rest.</t>
  </si>
  <si>
    <t>Own tractor and implemnt costs are covered under Tractor Costs.</t>
  </si>
  <si>
    <t>Step 6</t>
  </si>
  <si>
    <t>Click on Capital Improvements tab. This will only apply to those with specialist buildings and other plant and equipment devoted to wintering. Use your discretion .</t>
  </si>
  <si>
    <t>Copyright: Graham Butcher, Rural Solutions, 2018.</t>
  </si>
  <si>
    <t>For use by members of Deer Industry New Zealand Advance Parties.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</si>
</sst>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0_);[Red]\(&quot;$&quot;#,##0\)"/>
    <numFmt numFmtId="165" formatCode="&quot;$&quot;#,##0.00_);[Red]\(&quot;$&quot;#,##0.00\)"/>
    <numFmt numFmtId="166" formatCode="&quot;$&quot;#,##0"/>
    <numFmt numFmtId="167" formatCode="0.0"/>
    <numFmt numFmtId="168" formatCode="#,##0.0"/>
    <numFmt numFmtId="169" formatCode="&quot;$&quot;#,##0.00"/>
    <numFmt numFmtId="170" formatCode="0.0%"/>
  </numFmts>
  <fonts count="21" x14ac:knownFonts="1">
    <font>
      <sz val="11"/>
      <color theme="1"/>
      <name val="Calibri"/>
      <family val="2"/>
      <scheme val="minor"/>
    </font>
    <font>
      <b/>
      <sz val="8"/>
      <color theme="1"/>
      <name val="Calibri"/>
      <family val="2"/>
      <scheme val="minor"/>
    </font>
    <font>
      <b/>
      <sz val="10"/>
      <color theme="1"/>
      <name val="Calibri"/>
      <family val="2"/>
      <scheme val="minor"/>
    </font>
    <font>
      <b/>
      <sz val="11"/>
      <color theme="1"/>
      <name val="Calibri"/>
      <family val="2"/>
      <scheme val="minor"/>
    </font>
    <font>
      <b/>
      <sz val="14"/>
      <color theme="1"/>
      <name val="Calibri"/>
      <family val="2"/>
      <scheme val="minor"/>
    </font>
    <font>
      <sz val="9"/>
      <color indexed="81"/>
      <name val="Tahoma"/>
      <family val="2"/>
    </font>
    <font>
      <b/>
      <sz val="16"/>
      <color theme="1"/>
      <name val="Calibri"/>
      <family val="2"/>
      <scheme val="minor"/>
    </font>
    <font>
      <sz val="16"/>
      <color theme="1"/>
      <name val="Calibri"/>
      <family val="2"/>
      <scheme val="minor"/>
    </font>
    <font>
      <b/>
      <sz val="14"/>
      <color rgb="FFFF0000"/>
      <name val="Calibri"/>
      <family val="2"/>
      <scheme val="minor"/>
    </font>
    <font>
      <sz val="11"/>
      <color rgb="FFFF0000"/>
      <name val="Calibri"/>
      <family val="2"/>
      <scheme val="minor"/>
    </font>
    <font>
      <b/>
      <sz val="12"/>
      <color theme="1"/>
      <name val="Calibri"/>
      <family val="2"/>
      <scheme val="minor"/>
    </font>
    <font>
      <sz val="12"/>
      <color theme="1"/>
      <name val="Calibri"/>
      <family val="2"/>
      <scheme val="minor"/>
    </font>
    <font>
      <sz val="8"/>
      <color theme="1"/>
      <name val="Calibri"/>
      <family val="2"/>
      <scheme val="minor"/>
    </font>
    <font>
      <b/>
      <sz val="14"/>
      <name val="Calibri"/>
      <family val="2"/>
      <scheme val="minor"/>
    </font>
    <font>
      <b/>
      <sz val="12"/>
      <color theme="3" tint="0.39997558519241921"/>
      <name val="Calibri"/>
      <family val="2"/>
      <scheme val="minor"/>
    </font>
    <font>
      <b/>
      <sz val="11"/>
      <color theme="3" tint="0.39997558519241921"/>
      <name val="Calibri"/>
      <family val="2"/>
      <scheme val="minor"/>
    </font>
    <font>
      <sz val="11"/>
      <color theme="3" tint="0.39997558519241921"/>
      <name val="Calibri"/>
      <family val="2"/>
      <scheme val="minor"/>
    </font>
    <font>
      <b/>
      <sz val="11"/>
      <name val="Calibri"/>
      <family val="2"/>
      <scheme val="minor"/>
    </font>
    <font>
      <b/>
      <i/>
      <sz val="14"/>
      <color theme="1"/>
      <name val="Calibri"/>
      <family val="2"/>
      <scheme val="minor"/>
    </font>
    <font>
      <i/>
      <sz val="11"/>
      <color theme="1"/>
      <name val="Calibri"/>
      <family val="2"/>
      <scheme val="minor"/>
    </font>
    <font>
      <i/>
      <sz val="14"/>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59999389629810485"/>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47">
    <xf numFmtId="0" fontId="0" fillId="0" borderId="0" xfId="0"/>
    <xf numFmtId="165" fontId="0" fillId="0" borderId="0" xfId="0" applyNumberFormat="1"/>
    <xf numFmtId="0" fontId="0" fillId="0" borderId="0" xfId="0" applyFill="1" applyAlignment="1">
      <alignment horizontal="center"/>
    </xf>
    <xf numFmtId="0" fontId="3" fillId="0" borderId="0" xfId="0" applyFont="1" applyFill="1" applyAlignment="1">
      <alignment horizontal="center"/>
    </xf>
    <xf numFmtId="165" fontId="3" fillId="0" borderId="0" xfId="0" applyNumberFormat="1" applyFont="1"/>
    <xf numFmtId="0" fontId="3" fillId="0" borderId="0" xfId="0" applyFont="1"/>
    <xf numFmtId="0" fontId="3" fillId="0" borderId="0" xfId="0" applyFont="1" applyFill="1"/>
    <xf numFmtId="0" fontId="4" fillId="0" borderId="0" xfId="0" applyFont="1"/>
    <xf numFmtId="14" fontId="0" fillId="0" borderId="0" xfId="0" applyNumberFormat="1"/>
    <xf numFmtId="164" fontId="0" fillId="0" borderId="0" xfId="0" applyNumberFormat="1"/>
    <xf numFmtId="9" fontId="0" fillId="0" borderId="0" xfId="0" applyNumberFormat="1"/>
    <xf numFmtId="0" fontId="0" fillId="2" borderId="0" xfId="0" applyFill="1"/>
    <xf numFmtId="0" fontId="0" fillId="2" borderId="0" xfId="0" applyFill="1" applyAlignment="1">
      <alignment horizontal="right"/>
    </xf>
    <xf numFmtId="165" fontId="0" fillId="2" borderId="0" xfId="0" applyNumberFormat="1" applyFill="1"/>
    <xf numFmtId="164" fontId="0" fillId="2" borderId="0" xfId="0" applyNumberFormat="1" applyFill="1"/>
    <xf numFmtId="165" fontId="4" fillId="0" borderId="0" xfId="0" applyNumberFormat="1" applyFont="1"/>
    <xf numFmtId="0" fontId="3" fillId="0" borderId="0" xfId="0" applyFont="1" applyAlignment="1">
      <alignment horizontal="center"/>
    </xf>
    <xf numFmtId="0" fontId="3" fillId="0" borderId="0" xfId="0" applyFont="1" applyAlignment="1">
      <alignment horizontal="right"/>
    </xf>
    <xf numFmtId="0" fontId="0" fillId="0" borderId="1" xfId="0" applyBorder="1"/>
    <xf numFmtId="0" fontId="3" fillId="0" borderId="2" xfId="0" applyFont="1" applyBorder="1" applyAlignment="1">
      <alignment horizontal="center"/>
    </xf>
    <xf numFmtId="0" fontId="3" fillId="0" borderId="2" xfId="0" applyFont="1" applyBorder="1"/>
    <xf numFmtId="0" fontId="0" fillId="0" borderId="3" xfId="0" applyBorder="1"/>
    <xf numFmtId="0" fontId="0" fillId="0" borderId="4" xfId="0" applyBorder="1"/>
    <xf numFmtId="0" fontId="3" fillId="0" borderId="0" xfId="0" applyFont="1" applyBorder="1" applyAlignment="1">
      <alignment horizontal="center"/>
    </xf>
    <xf numFmtId="0" fontId="3" fillId="0" borderId="5" xfId="0" applyFont="1" applyBorder="1" applyAlignment="1">
      <alignment horizontal="center"/>
    </xf>
    <xf numFmtId="0" fontId="0" fillId="0" borderId="6" xfId="0" applyBorder="1"/>
    <xf numFmtId="0" fontId="3" fillId="0" borderId="1" xfId="0" applyFont="1" applyBorder="1"/>
    <xf numFmtId="0" fontId="3" fillId="0" borderId="6" xfId="0" applyFont="1" applyBorder="1"/>
    <xf numFmtId="166" fontId="0" fillId="0" borderId="5" xfId="0" applyNumberFormat="1" applyBorder="1"/>
    <xf numFmtId="166" fontId="3" fillId="0" borderId="8" xfId="0" applyNumberFormat="1" applyFont="1" applyBorder="1"/>
    <xf numFmtId="0" fontId="3" fillId="2" borderId="0" xfId="0" applyFont="1" applyFill="1" applyAlignment="1">
      <alignment horizontal="center"/>
    </xf>
    <xf numFmtId="0" fontId="0" fillId="0" borderId="0" xfId="0" applyFill="1"/>
    <xf numFmtId="166" fontId="0" fillId="0" borderId="8" xfId="0" applyNumberFormat="1" applyBorder="1"/>
    <xf numFmtId="4" fontId="0" fillId="0" borderId="0" xfId="0" applyNumberFormat="1" applyBorder="1" applyAlignment="1">
      <alignment horizontal="center"/>
    </xf>
    <xf numFmtId="4" fontId="0" fillId="0" borderId="5" xfId="0" applyNumberFormat="1" applyBorder="1" applyAlignment="1">
      <alignment horizontal="center"/>
    </xf>
    <xf numFmtId="4" fontId="0" fillId="0" borderId="8" xfId="0" applyNumberFormat="1" applyBorder="1" applyAlignment="1">
      <alignment horizontal="center"/>
    </xf>
    <xf numFmtId="166" fontId="0" fillId="0" borderId="0" xfId="0" applyNumberFormat="1" applyBorder="1" applyAlignment="1">
      <alignment horizontal="center"/>
    </xf>
    <xf numFmtId="166" fontId="0" fillId="0" borderId="7" xfId="0" applyNumberFormat="1" applyBorder="1" applyAlignment="1">
      <alignment horizontal="center"/>
    </xf>
    <xf numFmtId="0" fontId="3" fillId="2" borderId="9" xfId="0" applyFont="1" applyFill="1" applyBorder="1" applyAlignment="1">
      <alignment horizontal="center"/>
    </xf>
    <xf numFmtId="0" fontId="0" fillId="2" borderId="9" xfId="0" applyFill="1" applyBorder="1" applyAlignment="1">
      <alignment horizontal="center"/>
    </xf>
    <xf numFmtId="166" fontId="0" fillId="2" borderId="9" xfId="0" applyNumberFormat="1" applyFill="1" applyBorder="1" applyAlignment="1">
      <alignment horizontal="center"/>
    </xf>
    <xf numFmtId="164" fontId="3" fillId="0" borderId="0" xfId="0" applyNumberFormat="1" applyFont="1"/>
    <xf numFmtId="165" fontId="3" fillId="2" borderId="0" xfId="0" applyNumberFormat="1" applyFont="1" applyFill="1"/>
    <xf numFmtId="0" fontId="0" fillId="0" borderId="7" xfId="0" applyBorder="1"/>
    <xf numFmtId="0" fontId="0" fillId="0" borderId="0" xfId="0" applyBorder="1"/>
    <xf numFmtId="164" fontId="0" fillId="0" borderId="0" xfId="0" applyNumberFormat="1" applyFill="1"/>
    <xf numFmtId="165" fontId="4" fillId="0" borderId="0" xfId="0" applyNumberFormat="1" applyFont="1" applyBorder="1"/>
    <xf numFmtId="0" fontId="6" fillId="0" borderId="0" xfId="0" applyFont="1"/>
    <xf numFmtId="0" fontId="7" fillId="0" borderId="0" xfId="0" applyFont="1"/>
    <xf numFmtId="166" fontId="6" fillId="0" borderId="0" xfId="0" applyNumberFormat="1" applyFont="1"/>
    <xf numFmtId="0" fontId="8" fillId="0" borderId="0" xfId="0" applyFont="1"/>
    <xf numFmtId="9" fontId="0" fillId="0" borderId="0" xfId="0" applyNumberFormat="1" applyAlignment="1">
      <alignment horizontal="center"/>
    </xf>
    <xf numFmtId="0" fontId="3" fillId="0" borderId="0" xfId="0" applyFont="1" applyAlignment="1">
      <alignment horizontal="left"/>
    </xf>
    <xf numFmtId="168" fontId="0" fillId="2" borderId="9" xfId="0" applyNumberFormat="1" applyFill="1" applyBorder="1" applyAlignment="1">
      <alignment horizontal="center"/>
    </xf>
    <xf numFmtId="166" fontId="0" fillId="0" borderId="0" xfId="0" applyNumberFormat="1" applyFill="1" applyBorder="1" applyAlignment="1">
      <alignment horizontal="center"/>
    </xf>
    <xf numFmtId="0" fontId="2" fillId="0" borderId="0" xfId="0" applyFont="1" applyFill="1" applyAlignment="1">
      <alignment horizontal="center"/>
    </xf>
    <xf numFmtId="0" fontId="1" fillId="0" borderId="0" xfId="0" applyFont="1" applyFill="1" applyAlignment="1">
      <alignment horizontal="center"/>
    </xf>
    <xf numFmtId="165" fontId="0" fillId="0" borderId="0" xfId="0" applyNumberFormat="1" applyFill="1" applyAlignment="1">
      <alignment horizontal="center"/>
    </xf>
    <xf numFmtId="165" fontId="0" fillId="0" borderId="0" xfId="0" applyNumberFormat="1" applyFill="1"/>
    <xf numFmtId="0" fontId="0" fillId="0" borderId="0" xfId="0" applyFill="1" applyBorder="1"/>
    <xf numFmtId="166" fontId="0" fillId="2" borderId="11" xfId="0" applyNumberForma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167" fontId="0" fillId="2" borderId="9" xfId="0" applyNumberFormat="1" applyFill="1" applyBorder="1" applyAlignment="1">
      <alignment horizontal="center"/>
    </xf>
    <xf numFmtId="0" fontId="0" fillId="0" borderId="0" xfId="0" applyFill="1" applyBorder="1" applyAlignment="1">
      <alignment horizontal="center"/>
    </xf>
    <xf numFmtId="166" fontId="0" fillId="3" borderId="9" xfId="0" applyNumberFormat="1" applyFill="1" applyBorder="1" applyAlignment="1">
      <alignment horizontal="center"/>
    </xf>
    <xf numFmtId="166" fontId="0" fillId="0" borderId="0" xfId="0" applyNumberFormat="1" applyAlignment="1">
      <alignment horizontal="center"/>
    </xf>
    <xf numFmtId="1" fontId="0" fillId="2" borderId="9" xfId="0" applyNumberFormat="1" applyFill="1" applyBorder="1" applyAlignment="1">
      <alignment horizontal="center"/>
    </xf>
    <xf numFmtId="169" fontId="0" fillId="2" borderId="9" xfId="0" applyNumberFormat="1" applyFill="1" applyBorder="1" applyAlignment="1">
      <alignment horizontal="center"/>
    </xf>
    <xf numFmtId="9" fontId="9" fillId="2" borderId="9" xfId="0" applyNumberFormat="1" applyFont="1" applyFill="1" applyBorder="1" applyAlignment="1">
      <alignment horizontal="center"/>
    </xf>
    <xf numFmtId="0" fontId="9" fillId="2" borderId="9" xfId="0" applyFont="1" applyFill="1" applyBorder="1" applyAlignment="1">
      <alignment horizontal="center"/>
    </xf>
    <xf numFmtId="167" fontId="9" fillId="2" borderId="9" xfId="0" applyNumberFormat="1" applyFont="1" applyFill="1" applyBorder="1" applyAlignment="1">
      <alignment horizontal="center"/>
    </xf>
    <xf numFmtId="9" fontId="9" fillId="0" borderId="0" xfId="0" applyNumberFormat="1" applyFont="1" applyFill="1" applyAlignment="1">
      <alignment horizontal="center"/>
    </xf>
    <xf numFmtId="167" fontId="9" fillId="0" borderId="0" xfId="0" applyNumberFormat="1" applyFont="1" applyFill="1" applyAlignment="1">
      <alignment horizontal="center"/>
    </xf>
    <xf numFmtId="9" fontId="9" fillId="0" borderId="0" xfId="0" applyNumberFormat="1" applyFont="1" applyAlignment="1">
      <alignment horizontal="center"/>
    </xf>
    <xf numFmtId="167" fontId="9" fillId="0" borderId="0" xfId="0" applyNumberFormat="1" applyFont="1" applyAlignment="1">
      <alignment horizontal="center"/>
    </xf>
    <xf numFmtId="0" fontId="0" fillId="3" borderId="9" xfId="0" applyFill="1" applyBorder="1"/>
    <xf numFmtId="166" fontId="3" fillId="0" borderId="0" xfId="0" applyNumberFormat="1" applyFont="1" applyAlignment="1">
      <alignment horizontal="center"/>
    </xf>
    <xf numFmtId="170" fontId="0" fillId="3" borderId="9" xfId="0" applyNumberFormat="1" applyFill="1" applyBorder="1" applyAlignment="1">
      <alignment horizontal="center"/>
    </xf>
    <xf numFmtId="170" fontId="0" fillId="0" borderId="0" xfId="0" applyNumberFormat="1" applyAlignment="1">
      <alignment horizontal="center"/>
    </xf>
    <xf numFmtId="9" fontId="0" fillId="3" borderId="9" xfId="0" applyNumberFormat="1" applyFill="1" applyBorder="1" applyAlignment="1">
      <alignment horizontal="center"/>
    </xf>
    <xf numFmtId="169" fontId="3" fillId="0" borderId="0" xfId="0" applyNumberFormat="1" applyFont="1" applyFill="1" applyBorder="1" applyAlignment="1">
      <alignment horizontal="center"/>
    </xf>
    <xf numFmtId="169" fontId="3" fillId="0" borderId="0" xfId="0" applyNumberFormat="1" applyFont="1" applyAlignment="1">
      <alignment horizontal="center"/>
    </xf>
    <xf numFmtId="0" fontId="3" fillId="0" borderId="0" xfId="0" applyFont="1" applyBorder="1"/>
    <xf numFmtId="0" fontId="3" fillId="0" borderId="0" xfId="0" applyFont="1" applyFill="1" applyBorder="1"/>
    <xf numFmtId="166" fontId="3" fillId="0" borderId="0" xfId="0" applyNumberFormat="1" applyFont="1" applyFill="1" applyBorder="1" applyAlignment="1">
      <alignment horizontal="center"/>
    </xf>
    <xf numFmtId="0" fontId="0" fillId="4" borderId="9" xfId="0" applyFill="1" applyBorder="1"/>
    <xf numFmtId="166" fontId="0" fillId="4" borderId="9" xfId="0" applyNumberFormat="1" applyFill="1" applyBorder="1"/>
    <xf numFmtId="1" fontId="0" fillId="0" borderId="0" xfId="0" applyNumberFormat="1"/>
    <xf numFmtId="0" fontId="3" fillId="0" borderId="0" xfId="0" applyFont="1" applyFill="1" applyBorder="1" applyAlignment="1">
      <alignment horizontal="center"/>
    </xf>
    <xf numFmtId="1" fontId="0" fillId="0" borderId="0" xfId="0" applyNumberFormat="1" applyFill="1"/>
    <xf numFmtId="0" fontId="0" fillId="0" borderId="0" xfId="0" applyAlignment="1">
      <alignment horizontal="center"/>
    </xf>
    <xf numFmtId="1" fontId="0" fillId="0" borderId="0" xfId="0" applyNumberFormat="1" applyAlignment="1">
      <alignment horizontal="center"/>
    </xf>
    <xf numFmtId="0" fontId="0" fillId="2" borderId="0" xfId="0" applyFill="1" applyAlignment="1">
      <alignment horizontal="center"/>
    </xf>
    <xf numFmtId="0" fontId="0" fillId="0" borderId="0" xfId="0" applyFont="1" applyFill="1" applyAlignment="1">
      <alignment horizontal="left"/>
    </xf>
    <xf numFmtId="3" fontId="0" fillId="0" borderId="0" xfId="0" applyNumberFormat="1" applyAlignment="1">
      <alignment horizontal="center"/>
    </xf>
    <xf numFmtId="0" fontId="10" fillId="0" borderId="0" xfId="0" applyFont="1"/>
    <xf numFmtId="0" fontId="12" fillId="0" borderId="0" xfId="0" applyFont="1"/>
    <xf numFmtId="0" fontId="12" fillId="0" borderId="0" xfId="0" applyFont="1" applyFill="1"/>
    <xf numFmtId="0" fontId="12" fillId="0" borderId="0" xfId="0" applyFont="1" applyFill="1" applyBorder="1"/>
    <xf numFmtId="0" fontId="12" fillId="0" borderId="0" xfId="0" applyFont="1" applyAlignment="1">
      <alignment horizontal="center"/>
    </xf>
    <xf numFmtId="164" fontId="0" fillId="2" borderId="9" xfId="0" applyNumberFormat="1" applyFill="1" applyBorder="1" applyAlignment="1">
      <alignment horizontal="center"/>
    </xf>
    <xf numFmtId="2" fontId="12" fillId="0" borderId="0" xfId="0" applyNumberFormat="1" applyFont="1" applyAlignment="1">
      <alignment horizontal="center"/>
    </xf>
    <xf numFmtId="167" fontId="0" fillId="0" borderId="0" xfId="0" applyNumberFormat="1" applyBorder="1" applyAlignment="1">
      <alignment horizontal="center"/>
    </xf>
    <xf numFmtId="167" fontId="0" fillId="0" borderId="0" xfId="0" applyNumberFormat="1" applyAlignment="1">
      <alignment horizontal="center"/>
    </xf>
    <xf numFmtId="167" fontId="12" fillId="0" borderId="0" xfId="0" applyNumberFormat="1" applyFont="1" applyAlignment="1">
      <alignment horizontal="center"/>
    </xf>
    <xf numFmtId="167" fontId="12" fillId="0" borderId="0" xfId="0" applyNumberFormat="1" applyFont="1" applyFill="1" applyAlignment="1">
      <alignment horizontal="center"/>
    </xf>
    <xf numFmtId="1" fontId="0" fillId="0" borderId="7" xfId="0" applyNumberFormat="1" applyBorder="1" applyAlignment="1">
      <alignment horizontal="center"/>
    </xf>
    <xf numFmtId="166" fontId="3" fillId="0" borderId="0" xfId="0" applyNumberFormat="1" applyFont="1"/>
    <xf numFmtId="3" fontId="0" fillId="2" borderId="9" xfId="0" applyNumberFormat="1" applyFill="1" applyBorder="1" applyAlignment="1">
      <alignment horizontal="center"/>
    </xf>
    <xf numFmtId="166" fontId="3" fillId="3" borderId="9" xfId="0" applyNumberFormat="1" applyFont="1" applyFill="1" applyBorder="1" applyAlignment="1">
      <alignment horizontal="center"/>
    </xf>
    <xf numFmtId="166" fontId="3" fillId="0" borderId="0" xfId="0" applyNumberFormat="1" applyFont="1" applyFill="1" applyBorder="1"/>
    <xf numFmtId="0" fontId="13" fillId="0" borderId="0" xfId="0" applyFont="1" applyFill="1"/>
    <xf numFmtId="4" fontId="0" fillId="0" borderId="7" xfId="0" applyNumberFormat="1" applyBorder="1" applyAlignment="1">
      <alignment horizontal="center"/>
    </xf>
    <xf numFmtId="1" fontId="3" fillId="0" borderId="0" xfId="0" applyNumberFormat="1" applyFont="1" applyAlignment="1">
      <alignment horizontal="center"/>
    </xf>
    <xf numFmtId="0" fontId="11" fillId="5" borderId="0" xfId="0" applyFont="1" applyFill="1"/>
    <xf numFmtId="1" fontId="3" fillId="5" borderId="0" xfId="0" applyNumberFormat="1" applyFont="1" applyFill="1"/>
    <xf numFmtId="0" fontId="14" fillId="0" borderId="0" xfId="0" applyFont="1"/>
    <xf numFmtId="0" fontId="15" fillId="0" borderId="0" xfId="0" applyFont="1"/>
    <xf numFmtId="166" fontId="15" fillId="0" borderId="0" xfId="0" applyNumberFormat="1" applyFont="1"/>
    <xf numFmtId="0" fontId="15" fillId="0" borderId="0" xfId="0" applyFont="1" applyFill="1" applyBorder="1"/>
    <xf numFmtId="0" fontId="16" fillId="0" borderId="0" xfId="0" applyFont="1"/>
    <xf numFmtId="0" fontId="14" fillId="0" borderId="0" xfId="0" applyFont="1" applyFill="1" applyBorder="1"/>
    <xf numFmtId="166" fontId="16" fillId="0" borderId="0" xfId="0" applyNumberFormat="1" applyFont="1"/>
    <xf numFmtId="166" fontId="15" fillId="0" borderId="0" xfId="0" applyNumberFormat="1" applyFont="1" applyBorder="1"/>
    <xf numFmtId="166" fontId="17" fillId="0" borderId="0" xfId="0" applyNumberFormat="1" applyFont="1" applyAlignment="1">
      <alignment horizontal="right"/>
    </xf>
    <xf numFmtId="166" fontId="17" fillId="0" borderId="0" xfId="0" applyNumberFormat="1" applyFont="1"/>
    <xf numFmtId="0" fontId="3" fillId="4" borderId="0" xfId="0" applyFont="1" applyFill="1"/>
    <xf numFmtId="0" fontId="0" fillId="4" borderId="0" xfId="0" applyFill="1"/>
    <xf numFmtId="0" fontId="0" fillId="6" borderId="0" xfId="0" applyFill="1"/>
    <xf numFmtId="14" fontId="2" fillId="0" borderId="0" xfId="0" applyNumberFormat="1" applyFont="1" applyAlignment="1">
      <alignment horizontal="center"/>
    </xf>
    <xf numFmtId="0" fontId="0" fillId="4" borderId="9" xfId="0" applyFill="1" applyBorder="1" applyAlignment="1">
      <alignment horizontal="center"/>
    </xf>
    <xf numFmtId="0" fontId="0" fillId="7" borderId="0" xfId="0" applyFill="1"/>
    <xf numFmtId="0" fontId="18" fillId="7" borderId="0" xfId="0" applyFont="1" applyFill="1"/>
    <xf numFmtId="1" fontId="18" fillId="7" borderId="0" xfId="0" applyNumberFormat="1" applyFont="1" applyFill="1"/>
    <xf numFmtId="0" fontId="19" fillId="7" borderId="0" xfId="0" applyFont="1" applyFill="1"/>
    <xf numFmtId="168" fontId="18" fillId="7" borderId="0" xfId="0" applyNumberFormat="1" applyFont="1" applyFill="1"/>
    <xf numFmtId="0" fontId="18" fillId="5" borderId="0" xfId="0" applyFont="1" applyFill="1"/>
    <xf numFmtId="166" fontId="18" fillId="5" borderId="0" xfId="0" applyNumberFormat="1" applyFont="1" applyFill="1"/>
    <xf numFmtId="0" fontId="20" fillId="5" borderId="0" xfId="0" applyFont="1" applyFill="1"/>
    <xf numFmtId="170" fontId="18" fillId="5" borderId="0" xfId="0" applyNumberFormat="1" applyFont="1" applyFill="1"/>
    <xf numFmtId="0" fontId="3" fillId="7" borderId="0" xfId="0" applyFont="1" applyFill="1"/>
    <xf numFmtId="0" fontId="0" fillId="7" borderId="0" xfId="0" applyFont="1" applyFill="1"/>
    <xf numFmtId="169" fontId="3" fillId="7" borderId="0" xfId="0" applyNumberFormat="1" applyFont="1" applyFill="1"/>
    <xf numFmtId="0" fontId="0" fillId="5" borderId="0" xfId="0" applyFont="1" applyFill="1"/>
    <xf numFmtId="1" fontId="0" fillId="5" borderId="0" xfId="0" applyNumberFormat="1" applyFont="1" applyFill="1"/>
    <xf numFmtId="0" fontId="3" fillId="5" borderId="0" xfId="0" applyFont="1"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workbookViewId="0">
      <selection activeCell="B44" sqref="B44"/>
    </sheetView>
  </sheetViews>
  <sheetFormatPr defaultRowHeight="15" x14ac:dyDescent="0.25"/>
  <sheetData>
    <row r="1" spans="1:10" ht="18.75" x14ac:dyDescent="0.3">
      <c r="A1" s="7" t="s">
        <v>248</v>
      </c>
      <c r="B1" s="7"/>
      <c r="C1" s="7"/>
      <c r="D1" s="7"/>
    </row>
    <row r="3" spans="1:10" x14ac:dyDescent="0.25">
      <c r="A3" s="5" t="s">
        <v>249</v>
      </c>
      <c r="B3" s="5"/>
      <c r="C3" s="5"/>
      <c r="D3" s="5"/>
      <c r="E3" s="5"/>
      <c r="F3" s="5"/>
      <c r="G3" s="5"/>
      <c r="H3" s="5"/>
      <c r="I3" s="5"/>
      <c r="J3" s="5"/>
    </row>
    <row r="5" spans="1:10" ht="18.75" x14ac:dyDescent="0.3">
      <c r="A5" s="7" t="s">
        <v>250</v>
      </c>
      <c r="B5" s="5"/>
      <c r="C5" s="5"/>
      <c r="D5" s="5"/>
      <c r="E5" s="5"/>
      <c r="F5" s="5"/>
      <c r="G5" s="5"/>
      <c r="H5" s="5"/>
    </row>
    <row r="7" spans="1:10" x14ac:dyDescent="0.25">
      <c r="A7" s="5" t="s">
        <v>251</v>
      </c>
      <c r="B7" s="5"/>
      <c r="C7" s="5"/>
      <c r="D7" s="5"/>
      <c r="E7" s="5"/>
      <c r="F7" s="5"/>
      <c r="G7" s="5"/>
    </row>
    <row r="9" spans="1:10" x14ac:dyDescent="0.25">
      <c r="A9" s="5" t="s">
        <v>252</v>
      </c>
    </row>
    <row r="12" spans="1:10" x14ac:dyDescent="0.25">
      <c r="A12" s="5" t="s">
        <v>253</v>
      </c>
    </row>
    <row r="13" spans="1:10" x14ac:dyDescent="0.25">
      <c r="A13" s="5" t="s">
        <v>254</v>
      </c>
    </row>
    <row r="14" spans="1:10" x14ac:dyDescent="0.25">
      <c r="A14" s="5" t="s">
        <v>255</v>
      </c>
    </row>
    <row r="17" spans="1:1" x14ac:dyDescent="0.25">
      <c r="A17" s="5" t="s">
        <v>256</v>
      </c>
    </row>
    <row r="18" spans="1:1" x14ac:dyDescent="0.25">
      <c r="A18" s="5" t="s">
        <v>257</v>
      </c>
    </row>
    <row r="19" spans="1:1" x14ac:dyDescent="0.25">
      <c r="A19" s="5" t="s">
        <v>259</v>
      </c>
    </row>
    <row r="21" spans="1:1" x14ac:dyDescent="0.25">
      <c r="A21" s="5" t="s">
        <v>258</v>
      </c>
    </row>
    <row r="22" spans="1:1" x14ac:dyDescent="0.25">
      <c r="A22" s="5" t="s">
        <v>260</v>
      </c>
    </row>
    <row r="23" spans="1:1" x14ac:dyDescent="0.25">
      <c r="A23" s="5" t="s">
        <v>261</v>
      </c>
    </row>
    <row r="25" spans="1:1" x14ac:dyDescent="0.25">
      <c r="A25" s="5" t="s">
        <v>262</v>
      </c>
    </row>
    <row r="26" spans="1:1" x14ac:dyDescent="0.25">
      <c r="A26" s="5" t="s">
        <v>263</v>
      </c>
    </row>
    <row r="28" spans="1:1" x14ac:dyDescent="0.25">
      <c r="A28" s="5" t="s">
        <v>264</v>
      </c>
    </row>
    <row r="29" spans="1:1" x14ac:dyDescent="0.25">
      <c r="A29" s="5" t="s">
        <v>265</v>
      </c>
    </row>
    <row r="30" spans="1:1" x14ac:dyDescent="0.25">
      <c r="A30" s="5" t="s">
        <v>266</v>
      </c>
    </row>
    <row r="32" spans="1:1" x14ac:dyDescent="0.25">
      <c r="A32" s="5" t="s">
        <v>267</v>
      </c>
    </row>
    <row r="33" spans="1:1" x14ac:dyDescent="0.25">
      <c r="A33" s="5" t="s">
        <v>268</v>
      </c>
    </row>
    <row r="36" spans="1:1" x14ac:dyDescent="0.25">
      <c r="A36" s="118" t="s">
        <v>269</v>
      </c>
    </row>
    <row r="37" spans="1:1" x14ac:dyDescent="0.25">
      <c r="A37" s="118" t="s">
        <v>270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
  <sheetViews>
    <sheetView tabSelected="1" topLeftCell="A52" zoomScaleNormal="100" workbookViewId="0">
      <selection activeCell="H54" sqref="H54"/>
    </sheetView>
  </sheetViews>
  <sheetFormatPr defaultRowHeight="15" x14ac:dyDescent="0.25"/>
  <cols>
    <col min="1" max="1" width="25.5703125" customWidth="1"/>
    <col min="2" max="10" width="15.5703125" customWidth="1"/>
  </cols>
  <sheetData>
    <row r="1" spans="1:6" ht="18.75" x14ac:dyDescent="0.3">
      <c r="A1" s="7" t="s">
        <v>45</v>
      </c>
    </row>
    <row r="2" spans="1:6" ht="18.75" x14ac:dyDescent="0.3">
      <c r="A2" s="7">
        <f>'Basic Farm Data'!B2</f>
        <v>0</v>
      </c>
      <c r="D2" s="16"/>
    </row>
    <row r="3" spans="1:6" x14ac:dyDescent="0.25">
      <c r="A3" s="5" t="str">
        <f>'Basic Farm Data'!B3</f>
        <v>2016/17</v>
      </c>
      <c r="F3" s="16"/>
    </row>
    <row r="4" spans="1:6" ht="15.75" x14ac:dyDescent="0.25">
      <c r="A4" s="117" t="s">
        <v>0</v>
      </c>
      <c r="B4" s="16" t="s">
        <v>148</v>
      </c>
      <c r="C4" s="16" t="s">
        <v>149</v>
      </c>
      <c r="D4" s="16" t="s">
        <v>150</v>
      </c>
      <c r="E4" s="16"/>
    </row>
    <row r="5" spans="1:6" x14ac:dyDescent="0.25">
      <c r="A5" s="5" t="s">
        <v>70</v>
      </c>
      <c r="B5" s="77">
        <f>'Winter Crop Costs'!B19*'Winter Crop Costs'!B4</f>
        <v>0</v>
      </c>
      <c r="C5" s="77">
        <f>'Winter Crop Costs'!B38*'Winter Crop Costs'!B25</f>
        <v>0</v>
      </c>
      <c r="D5" s="77">
        <f>'Winter Crop Costs'!B56*'Winter Crop Costs'!B44</f>
        <v>0</v>
      </c>
    </row>
    <row r="6" spans="1:6" x14ac:dyDescent="0.25">
      <c r="A6" s="5" t="s">
        <v>71</v>
      </c>
      <c r="B6" s="77">
        <f>'Winter Crop Costs'!C19*'Winter Crop Costs'!C4</f>
        <v>0</v>
      </c>
      <c r="C6" s="77">
        <f>'Winter Crop Costs'!C38*'Winter Crop Costs'!C25</f>
        <v>0</v>
      </c>
      <c r="D6" s="77">
        <f>'Winter Crop Costs'!C56*'Winter Crop Costs'!C44</f>
        <v>0</v>
      </c>
    </row>
    <row r="7" spans="1:6" x14ac:dyDescent="0.25">
      <c r="A7" s="5" t="s">
        <v>72</v>
      </c>
      <c r="B7" s="77">
        <f>'Winter Crop Costs'!D19*'Winter Crop Costs'!D4</f>
        <v>0</v>
      </c>
      <c r="C7" s="77">
        <f>'Winter Crop Costs'!D38*'Winter Crop Costs'!D25</f>
        <v>0</v>
      </c>
      <c r="D7" s="77">
        <f>'Winter Crop Costs'!D56*'Winter Crop Costs'!D44</f>
        <v>0</v>
      </c>
    </row>
    <row r="8" spans="1:6" x14ac:dyDescent="0.25">
      <c r="A8" s="5" t="s">
        <v>73</v>
      </c>
      <c r="B8" s="77">
        <f>'Winter Crop Costs'!E19*'Winter Crop Costs'!E4</f>
        <v>0</v>
      </c>
      <c r="C8" s="77">
        <f>'Winter Crop Costs'!E38</f>
        <v>0</v>
      </c>
      <c r="D8" s="77">
        <f>'Winter Crop Costs'!E56*'Winter Crop Costs'!E44</f>
        <v>0</v>
      </c>
    </row>
    <row r="9" spans="1:6" x14ac:dyDescent="0.25">
      <c r="A9" s="5" t="s">
        <v>80</v>
      </c>
      <c r="B9" s="77">
        <f>'Winter Crop Costs'!F19*'Winter Crop Costs'!F4</f>
        <v>0</v>
      </c>
      <c r="D9" s="17"/>
    </row>
    <row r="10" spans="1:6" x14ac:dyDescent="0.25">
      <c r="D10" s="17"/>
    </row>
    <row r="11" spans="1:6" x14ac:dyDescent="0.25">
      <c r="A11" s="118" t="s">
        <v>151</v>
      </c>
      <c r="E11" s="125">
        <f>SUM(B5:D9)</f>
        <v>0</v>
      </c>
    </row>
    <row r="13" spans="1:6" ht="15.75" x14ac:dyDescent="0.25">
      <c r="A13" s="117" t="s">
        <v>152</v>
      </c>
      <c r="E13" s="118"/>
    </row>
    <row r="14" spans="1:6" x14ac:dyDescent="0.25">
      <c r="A14" s="5" t="s">
        <v>63</v>
      </c>
      <c r="E14" s="126">
        <f>'Tractor Costs'!D52</f>
        <v>0</v>
      </c>
    </row>
    <row r="15" spans="1:6" x14ac:dyDescent="0.25">
      <c r="A15" s="5" t="s">
        <v>64</v>
      </c>
      <c r="E15" s="119"/>
    </row>
    <row r="16" spans="1:6" x14ac:dyDescent="0.25">
      <c r="A16" s="5" t="s">
        <v>69</v>
      </c>
      <c r="E16" s="119"/>
    </row>
    <row r="17" spans="1:5" x14ac:dyDescent="0.25">
      <c r="A17" s="118"/>
      <c r="B17" s="121"/>
      <c r="C17" s="121"/>
      <c r="D17" s="121"/>
      <c r="E17" s="119"/>
    </row>
    <row r="19" spans="1:5" ht="15.75" x14ac:dyDescent="0.25">
      <c r="A19" s="117" t="s">
        <v>153</v>
      </c>
      <c r="E19" s="5"/>
    </row>
    <row r="20" spans="1:5" x14ac:dyDescent="0.25">
      <c r="A20" s="83" t="s">
        <v>38</v>
      </c>
      <c r="E20" s="108">
        <f>'Bought In Feed Costs'!F19</f>
        <v>0</v>
      </c>
    </row>
    <row r="21" spans="1:5" x14ac:dyDescent="0.25">
      <c r="A21" s="83" t="s">
        <v>39</v>
      </c>
      <c r="E21" s="108">
        <f>'Bought In Feed Costs'!F20</f>
        <v>0</v>
      </c>
    </row>
    <row r="22" spans="1:5" x14ac:dyDescent="0.25">
      <c r="A22" s="83" t="s">
        <v>40</v>
      </c>
      <c r="E22" s="108">
        <f>'Bought In Feed Costs'!F21</f>
        <v>0</v>
      </c>
    </row>
    <row r="23" spans="1:5" x14ac:dyDescent="0.25">
      <c r="A23" s="83" t="s">
        <v>41</v>
      </c>
      <c r="E23" s="108">
        <f>'Bought In Feed Costs'!F22</f>
        <v>0</v>
      </c>
    </row>
    <row r="24" spans="1:5" x14ac:dyDescent="0.25">
      <c r="A24" s="83" t="s">
        <v>77</v>
      </c>
      <c r="E24" s="108">
        <f>'Bought In Feed Costs'!F23</f>
        <v>0</v>
      </c>
    </row>
    <row r="25" spans="1:5" x14ac:dyDescent="0.25">
      <c r="A25" s="83" t="s">
        <v>78</v>
      </c>
      <c r="E25" s="108">
        <f>'Bought In Feed Costs'!F24</f>
        <v>0</v>
      </c>
    </row>
    <row r="26" spans="1:5" x14ac:dyDescent="0.25">
      <c r="A26" s="83" t="s">
        <v>79</v>
      </c>
      <c r="E26" s="108">
        <f>'Bought In Feed Costs'!F25</f>
        <v>0</v>
      </c>
    </row>
    <row r="27" spans="1:5" x14ac:dyDescent="0.25">
      <c r="A27" s="83" t="s">
        <v>60</v>
      </c>
      <c r="E27" s="108">
        <f>'Bought In Feed Costs'!F26</f>
        <v>0</v>
      </c>
    </row>
    <row r="28" spans="1:5" x14ac:dyDescent="0.25">
      <c r="A28" s="120"/>
      <c r="B28" s="121"/>
      <c r="C28" s="121"/>
      <c r="D28" s="121"/>
      <c r="E28" s="119"/>
    </row>
    <row r="30" spans="1:5" ht="15.75" x14ac:dyDescent="0.25">
      <c r="A30" s="122" t="s">
        <v>154</v>
      </c>
      <c r="E30" s="5"/>
    </row>
    <row r="31" spans="1:5" x14ac:dyDescent="0.25">
      <c r="A31" s="84" t="s">
        <v>155</v>
      </c>
      <c r="E31" s="108">
        <f>'Own Conservation'!B11</f>
        <v>0</v>
      </c>
    </row>
    <row r="32" spans="1:5" x14ac:dyDescent="0.25">
      <c r="A32" s="84" t="s">
        <v>156</v>
      </c>
      <c r="E32" s="108">
        <f>'Own Conservation'!C11</f>
        <v>0</v>
      </c>
    </row>
    <row r="33" spans="1:6" x14ac:dyDescent="0.25">
      <c r="A33" s="84" t="s">
        <v>107</v>
      </c>
      <c r="E33" s="108">
        <f>'Own Conservation'!B24</f>
        <v>0</v>
      </c>
    </row>
    <row r="34" spans="1:6" x14ac:dyDescent="0.25">
      <c r="A34" s="84" t="s">
        <v>226</v>
      </c>
      <c r="E34" s="108">
        <f>'Own Conservation'!B43</f>
        <v>0</v>
      </c>
    </row>
    <row r="35" spans="1:6" x14ac:dyDescent="0.25">
      <c r="A35" s="84" t="s">
        <v>227</v>
      </c>
      <c r="E35" s="108">
        <f>'Own Conservation'!B44</f>
        <v>0</v>
      </c>
    </row>
    <row r="36" spans="1:6" x14ac:dyDescent="0.25">
      <c r="A36" s="84" t="s">
        <v>122</v>
      </c>
      <c r="E36" s="108">
        <f>'Own Conservation'!B58</f>
        <v>0</v>
      </c>
    </row>
    <row r="37" spans="1:6" x14ac:dyDescent="0.25">
      <c r="A37" s="120"/>
      <c r="B37" s="121"/>
      <c r="C37" s="121"/>
      <c r="D37" s="121"/>
      <c r="E37" s="123"/>
    </row>
    <row r="39" spans="1:6" x14ac:dyDescent="0.25">
      <c r="A39" s="120" t="s">
        <v>222</v>
      </c>
      <c r="E39" s="5"/>
    </row>
    <row r="40" spans="1:6" x14ac:dyDescent="0.25">
      <c r="A40" s="84" t="s">
        <v>13</v>
      </c>
      <c r="E40" s="108">
        <f>'Capital Improvements'!B31</f>
        <v>0</v>
      </c>
    </row>
    <row r="41" spans="1:6" x14ac:dyDescent="0.25">
      <c r="A41" s="84" t="s">
        <v>158</v>
      </c>
      <c r="E41" s="108">
        <f>'Capital Improvements'!B32</f>
        <v>0</v>
      </c>
    </row>
    <row r="42" spans="1:6" x14ac:dyDescent="0.25">
      <c r="A42" s="118"/>
      <c r="B42" s="118"/>
      <c r="C42" s="118"/>
      <c r="D42" s="118"/>
      <c r="E42" s="124"/>
    </row>
    <row r="43" spans="1:6" x14ac:dyDescent="0.25">
      <c r="F43" s="129"/>
    </row>
    <row r="44" spans="1:6" ht="18.75" x14ac:dyDescent="0.3">
      <c r="A44" s="137" t="s">
        <v>157</v>
      </c>
      <c r="B44" s="137"/>
      <c r="C44" s="137"/>
      <c r="D44" s="137"/>
      <c r="E44" s="138">
        <f>E11+E14+E15+E16+E20+E21+E22+E23+E24+E25+E26+E27+E31+E32+E33+E34+E35+E36+E40+E41</f>
        <v>0</v>
      </c>
      <c r="F44" s="129"/>
    </row>
    <row r="45" spans="1:6" ht="18.75" x14ac:dyDescent="0.3">
      <c r="A45" s="139"/>
      <c r="B45" s="139"/>
      <c r="C45" s="139"/>
      <c r="D45" s="139"/>
      <c r="E45" s="139"/>
      <c r="F45" s="129"/>
    </row>
    <row r="46" spans="1:6" ht="18.75" x14ac:dyDescent="0.3">
      <c r="A46" s="137" t="s">
        <v>176</v>
      </c>
      <c r="B46" s="139"/>
      <c r="C46" s="139"/>
      <c r="D46" s="139"/>
      <c r="E46" s="140">
        <f>IFERROR(E44/'Basic Farm Data'!B23,0)</f>
        <v>0</v>
      </c>
      <c r="F46" s="129"/>
    </row>
    <row r="47" spans="1:6" ht="15.75" x14ac:dyDescent="0.25">
      <c r="A47" s="115"/>
      <c r="B47" s="115"/>
      <c r="C47" s="115"/>
      <c r="D47" s="115"/>
      <c r="E47" s="115"/>
      <c r="F47" s="129"/>
    </row>
    <row r="48" spans="1:6" ht="18.75" x14ac:dyDescent="0.3">
      <c r="A48" s="133" t="s">
        <v>245</v>
      </c>
      <c r="B48" s="133"/>
      <c r="C48" s="133"/>
      <c r="D48" s="133"/>
      <c r="E48" s="134">
        <f>IFERROR((E59*'Basic Farm Data'!E14)/('Basic Farm Data'!E15/100),0)</f>
        <v>0</v>
      </c>
      <c r="F48" s="129"/>
    </row>
    <row r="49" spans="1:6" x14ac:dyDescent="0.25">
      <c r="A49" s="135"/>
      <c r="B49" s="135"/>
      <c r="C49" s="135"/>
      <c r="D49" s="135"/>
      <c r="E49" s="135"/>
      <c r="F49" s="129"/>
    </row>
    <row r="50" spans="1:6" ht="18.75" x14ac:dyDescent="0.3">
      <c r="A50" s="133" t="s">
        <v>247</v>
      </c>
      <c r="B50" s="133"/>
      <c r="C50" s="133"/>
      <c r="D50" s="133"/>
      <c r="E50" s="136">
        <f>IFERROR((E44/(E59*'Basic Farm Data'!E14))*100,0)</f>
        <v>0</v>
      </c>
      <c r="F50" s="129"/>
    </row>
    <row r="51" spans="1:6" x14ac:dyDescent="0.25">
      <c r="A51" s="132"/>
      <c r="B51" s="132"/>
      <c r="C51" s="132"/>
      <c r="D51" s="132"/>
      <c r="E51" s="132"/>
      <c r="F51" s="129"/>
    </row>
    <row r="52" spans="1:6" x14ac:dyDescent="0.25">
      <c r="A52" s="141" t="s">
        <v>246</v>
      </c>
      <c r="B52" s="142"/>
      <c r="C52" s="142"/>
      <c r="D52" s="142"/>
      <c r="E52" s="142"/>
      <c r="F52" s="129"/>
    </row>
    <row r="53" spans="1:6" x14ac:dyDescent="0.25">
      <c r="A53" s="141" t="s">
        <v>177</v>
      </c>
      <c r="B53" s="142"/>
      <c r="C53" s="142"/>
      <c r="D53" s="142"/>
      <c r="E53" s="143">
        <f>IFERROR(E44/'Basic Farm Data'!E14,0)</f>
        <v>0</v>
      </c>
      <c r="F53" s="129"/>
    </row>
    <row r="54" spans="1:6" x14ac:dyDescent="0.25">
      <c r="A54" s="144"/>
      <c r="B54" s="144"/>
      <c r="C54" s="144"/>
      <c r="D54" s="144"/>
      <c r="E54" s="145"/>
    </row>
    <row r="55" spans="1:6" x14ac:dyDescent="0.25">
      <c r="A55" s="146" t="s">
        <v>233</v>
      </c>
      <c r="B55" s="144"/>
      <c r="C55" s="144"/>
      <c r="D55" s="144"/>
      <c r="E55" s="116">
        <f>IFERROR(('Winter Crop Costs'!I4+'Winter Crop Costs'!I25+'Winter Crop Costs'!I44+'Own Conservation'!F3+'Own Conservation'!F14+'Own Conservation'!F26+'Own Conservation'!F47)/'Basic Farm Data'!E14,0)</f>
        <v>0</v>
      </c>
    </row>
    <row r="56" spans="1:6" x14ac:dyDescent="0.25">
      <c r="A56" s="144"/>
      <c r="B56" s="144"/>
      <c r="C56" s="144"/>
      <c r="D56" s="144"/>
      <c r="E56" s="145"/>
    </row>
    <row r="57" spans="1:6" x14ac:dyDescent="0.25">
      <c r="A57" s="146" t="s">
        <v>192</v>
      </c>
      <c r="B57" s="146"/>
      <c r="C57" s="146"/>
      <c r="D57" s="146"/>
      <c r="E57" s="116">
        <f>IFERROR('Bought In Feed Costs'!I12/'Basic Farm Data'!E14,0)</f>
        <v>0</v>
      </c>
    </row>
    <row r="58" spans="1:6" x14ac:dyDescent="0.25">
      <c r="A58" s="144"/>
      <c r="B58" s="144"/>
      <c r="C58" s="144"/>
      <c r="D58" s="144"/>
      <c r="E58" s="145"/>
    </row>
    <row r="59" spans="1:6" x14ac:dyDescent="0.25">
      <c r="A59" s="146" t="s">
        <v>234</v>
      </c>
      <c r="B59" s="144"/>
      <c r="C59" s="144"/>
      <c r="D59" s="144"/>
      <c r="E59" s="116">
        <f>E55+E57</f>
        <v>0</v>
      </c>
    </row>
    <row r="62" spans="1:6" ht="18.75" x14ac:dyDescent="0.3">
      <c r="A62" s="7" t="s">
        <v>193</v>
      </c>
    </row>
    <row r="63" spans="1:6" x14ac:dyDescent="0.25">
      <c r="B63" s="5" t="s">
        <v>194</v>
      </c>
      <c r="C63" s="5"/>
      <c r="D63" s="5" t="s">
        <v>195</v>
      </c>
      <c r="E63" s="5"/>
    </row>
    <row r="65" spans="1:4" ht="15.75" x14ac:dyDescent="0.25">
      <c r="A65" s="96" t="s">
        <v>214</v>
      </c>
    </row>
    <row r="66" spans="1:4" x14ac:dyDescent="0.25">
      <c r="A66" t="s">
        <v>196</v>
      </c>
      <c r="B66" s="104">
        <f>'Winter Crop Costs'!B20</f>
        <v>0</v>
      </c>
      <c r="C66" s="104"/>
      <c r="D66" s="104">
        <f>'Winter Crop Costs'!B21</f>
        <v>0</v>
      </c>
    </row>
    <row r="67" spans="1:4" x14ac:dyDescent="0.25">
      <c r="A67" t="s">
        <v>197</v>
      </c>
      <c r="B67" s="104">
        <f>'Winter Crop Costs'!B39</f>
        <v>0</v>
      </c>
      <c r="C67" s="104"/>
      <c r="D67" s="104">
        <f>'Winter Crop Costs'!B40</f>
        <v>0</v>
      </c>
    </row>
    <row r="68" spans="1:4" x14ac:dyDescent="0.25">
      <c r="A68" t="s">
        <v>198</v>
      </c>
      <c r="B68" s="104">
        <f>'Winter Crop Costs'!B57</f>
        <v>0</v>
      </c>
      <c r="C68" s="104"/>
      <c r="D68" s="104">
        <f>'Winter Crop Costs'!B58</f>
        <v>0</v>
      </c>
    </row>
    <row r="69" spans="1:4" x14ac:dyDescent="0.25">
      <c r="B69" s="104"/>
      <c r="C69" s="104"/>
      <c r="D69" s="104"/>
    </row>
    <row r="70" spans="1:4" x14ac:dyDescent="0.25">
      <c r="A70" t="s">
        <v>199</v>
      </c>
      <c r="B70" s="104">
        <f>'Winter Crop Costs'!C20</f>
        <v>0</v>
      </c>
      <c r="C70" s="104"/>
      <c r="D70" s="104">
        <f>'Winter Crop Costs'!C21</f>
        <v>0</v>
      </c>
    </row>
    <row r="71" spans="1:4" x14ac:dyDescent="0.25">
      <c r="A71" t="s">
        <v>200</v>
      </c>
      <c r="B71" s="104">
        <f>'Winter Crop Costs'!C39</f>
        <v>0</v>
      </c>
      <c r="C71" s="104"/>
      <c r="D71" s="104">
        <f>'Winter Crop Costs'!C40</f>
        <v>0</v>
      </c>
    </row>
    <row r="72" spans="1:4" x14ac:dyDescent="0.25">
      <c r="A72" t="s">
        <v>201</v>
      </c>
      <c r="B72" s="104">
        <f>'Winter Crop Costs'!C57</f>
        <v>0</v>
      </c>
      <c r="C72" s="104"/>
      <c r="D72" s="104">
        <f>'Winter Crop Costs'!C58</f>
        <v>0</v>
      </c>
    </row>
    <row r="73" spans="1:4" x14ac:dyDescent="0.25">
      <c r="B73" s="104"/>
      <c r="C73" s="104"/>
      <c r="D73" s="104"/>
    </row>
    <row r="74" spans="1:4" x14ac:dyDescent="0.25">
      <c r="A74" t="s">
        <v>202</v>
      </c>
      <c r="B74" s="104">
        <f>'Winter Crop Costs'!D20</f>
        <v>0</v>
      </c>
      <c r="C74" s="104"/>
      <c r="D74" s="104">
        <f>'Winter Crop Costs'!D21</f>
        <v>0</v>
      </c>
    </row>
    <row r="75" spans="1:4" x14ac:dyDescent="0.25">
      <c r="A75" t="s">
        <v>203</v>
      </c>
      <c r="B75" s="104">
        <f>'Winter Crop Costs'!D39</f>
        <v>0</v>
      </c>
      <c r="C75" s="104"/>
      <c r="D75" s="104">
        <f>'Winter Crop Costs'!D40</f>
        <v>0</v>
      </c>
    </row>
    <row r="76" spans="1:4" x14ac:dyDescent="0.25">
      <c r="A76" t="s">
        <v>204</v>
      </c>
      <c r="B76" s="104">
        <f>'Winter Crop Costs'!D57</f>
        <v>0</v>
      </c>
      <c r="C76" s="104"/>
      <c r="D76" s="104">
        <f>'Winter Crop Costs'!D58</f>
        <v>0</v>
      </c>
    </row>
    <row r="77" spans="1:4" x14ac:dyDescent="0.25">
      <c r="B77" s="104"/>
      <c r="C77" s="104"/>
      <c r="D77" s="104"/>
    </row>
    <row r="78" spans="1:4" x14ac:dyDescent="0.25">
      <c r="A78" t="s">
        <v>205</v>
      </c>
      <c r="B78" s="104">
        <f>'Winter Crop Costs'!E20</f>
        <v>0</v>
      </c>
      <c r="C78" s="104"/>
      <c r="D78" s="104">
        <f>'Winter Crop Costs'!E21</f>
        <v>0</v>
      </c>
    </row>
    <row r="79" spans="1:4" x14ac:dyDescent="0.25">
      <c r="A79" t="s">
        <v>206</v>
      </c>
      <c r="B79" s="104">
        <f>'Winter Crop Costs'!E39</f>
        <v>0</v>
      </c>
      <c r="C79" s="104"/>
      <c r="D79" s="104">
        <f>'Winter Crop Costs'!E40</f>
        <v>0</v>
      </c>
    </row>
    <row r="80" spans="1:4" x14ac:dyDescent="0.25">
      <c r="A80" t="s">
        <v>207</v>
      </c>
      <c r="B80" s="104">
        <f>'Winter Crop Costs'!E57</f>
        <v>0</v>
      </c>
      <c r="C80" s="104"/>
      <c r="D80" s="104">
        <f>'Winter Crop Costs'!E58</f>
        <v>0</v>
      </c>
    </row>
    <row r="81" spans="1:4" x14ac:dyDescent="0.25">
      <c r="B81" s="104"/>
      <c r="C81" s="104"/>
      <c r="D81" s="104"/>
    </row>
    <row r="82" spans="1:4" x14ac:dyDescent="0.25">
      <c r="A82" t="s">
        <v>208</v>
      </c>
      <c r="B82" s="104">
        <f>'Winter Crop Costs'!F20</f>
        <v>0</v>
      </c>
      <c r="C82" s="104"/>
      <c r="D82" s="104">
        <f>'Winter Crop Costs'!F21</f>
        <v>0</v>
      </c>
    </row>
    <row r="83" spans="1:4" x14ac:dyDescent="0.25">
      <c r="B83" s="104"/>
      <c r="C83" s="104"/>
      <c r="D83" s="104"/>
    </row>
    <row r="84" spans="1:4" ht="15.75" x14ac:dyDescent="0.25">
      <c r="A84" s="96" t="s">
        <v>154</v>
      </c>
      <c r="B84" s="104"/>
      <c r="C84" s="104"/>
      <c r="D84" s="104"/>
    </row>
    <row r="85" spans="1:4" x14ac:dyDescent="0.25">
      <c r="A85" t="s">
        <v>209</v>
      </c>
      <c r="B85" s="104">
        <f>'Own Conservation'!F7</f>
        <v>0</v>
      </c>
      <c r="C85" s="104"/>
      <c r="D85" s="104">
        <f>'Own Conservation'!F8</f>
        <v>0</v>
      </c>
    </row>
    <row r="86" spans="1:4" x14ac:dyDescent="0.25">
      <c r="A86" t="s">
        <v>210</v>
      </c>
      <c r="B86" s="104">
        <f>'Own Conservation'!G7</f>
        <v>0</v>
      </c>
      <c r="C86" s="104"/>
      <c r="D86" s="104">
        <f>'Own Conservation'!G8</f>
        <v>0</v>
      </c>
    </row>
    <row r="87" spans="1:4" x14ac:dyDescent="0.25">
      <c r="A87" t="s">
        <v>217</v>
      </c>
      <c r="B87" s="104">
        <f>'Own Conservation'!F18</f>
        <v>0</v>
      </c>
      <c r="C87" s="104"/>
      <c r="D87" s="104">
        <f>'Own Conservation'!F19</f>
        <v>0</v>
      </c>
    </row>
    <row r="88" spans="1:4" x14ac:dyDescent="0.25">
      <c r="A88" t="s">
        <v>211</v>
      </c>
      <c r="B88" s="104">
        <f>'Own Conservation'!F31</f>
        <v>0</v>
      </c>
      <c r="C88" s="104"/>
      <c r="D88" s="104">
        <f>'Own Conservation'!F32</f>
        <v>0</v>
      </c>
    </row>
    <row r="89" spans="1:4" x14ac:dyDescent="0.25">
      <c r="A89" t="s">
        <v>212</v>
      </c>
      <c r="B89" s="104">
        <f>'Own Conservation'!G31</f>
        <v>0</v>
      </c>
      <c r="C89" s="104"/>
      <c r="D89" s="104">
        <f>'Own Conservation'!G32</f>
        <v>0</v>
      </c>
    </row>
    <row r="90" spans="1:4" x14ac:dyDescent="0.25">
      <c r="A90" t="s">
        <v>77</v>
      </c>
      <c r="B90" s="104">
        <f>'Own Conservation'!F51</f>
        <v>0</v>
      </c>
      <c r="C90" s="104"/>
      <c r="D90" s="104">
        <f>'Own Conservation'!F52</f>
        <v>0</v>
      </c>
    </row>
    <row r="91" spans="1:4" x14ac:dyDescent="0.25">
      <c r="B91" s="104"/>
      <c r="C91" s="104"/>
      <c r="D91" s="104"/>
    </row>
    <row r="92" spans="1:4" ht="15.75" x14ac:dyDescent="0.25">
      <c r="A92" s="96" t="s">
        <v>213</v>
      </c>
      <c r="B92" s="104"/>
      <c r="C92" s="103"/>
      <c r="D92" s="104"/>
    </row>
    <row r="93" spans="1:4" x14ac:dyDescent="0.25">
      <c r="A93" s="44" t="s">
        <v>38</v>
      </c>
      <c r="B93" s="103">
        <f>'Bought In Feed Costs'!G19</f>
        <v>0</v>
      </c>
      <c r="C93" s="104"/>
      <c r="D93" s="103">
        <f>'Bought In Feed Costs'!H19</f>
        <v>0</v>
      </c>
    </row>
    <row r="94" spans="1:4" x14ac:dyDescent="0.25">
      <c r="A94" s="44" t="s">
        <v>39</v>
      </c>
      <c r="B94" s="103">
        <f>'Bought In Feed Costs'!G20</f>
        <v>0</v>
      </c>
      <c r="C94" s="104"/>
      <c r="D94" s="103">
        <f>'Bought In Feed Costs'!H20</f>
        <v>0</v>
      </c>
    </row>
    <row r="95" spans="1:4" x14ac:dyDescent="0.25">
      <c r="A95" s="44" t="s">
        <v>40</v>
      </c>
      <c r="B95" s="103">
        <f>'Bought In Feed Costs'!G21</f>
        <v>0</v>
      </c>
      <c r="C95" s="104"/>
      <c r="D95" s="103">
        <f>'Bought In Feed Costs'!H21</f>
        <v>0</v>
      </c>
    </row>
    <row r="96" spans="1:4" x14ac:dyDescent="0.25">
      <c r="A96" s="44" t="s">
        <v>41</v>
      </c>
      <c r="B96" s="103">
        <f>'Bought In Feed Costs'!G22</f>
        <v>0</v>
      </c>
      <c r="C96" s="104"/>
      <c r="D96" s="103">
        <f>'Bought In Feed Costs'!H22</f>
        <v>0</v>
      </c>
    </row>
    <row r="97" spans="1:4" x14ac:dyDescent="0.25">
      <c r="A97" s="44" t="s">
        <v>77</v>
      </c>
      <c r="B97" s="103">
        <f>'Bought In Feed Costs'!G23</f>
        <v>0</v>
      </c>
      <c r="C97" s="104"/>
      <c r="D97" s="103">
        <f>'Bought In Feed Costs'!H23</f>
        <v>0</v>
      </c>
    </row>
    <row r="98" spans="1:4" x14ac:dyDescent="0.25">
      <c r="A98" s="44" t="s">
        <v>78</v>
      </c>
      <c r="B98" s="103">
        <f>'Bought In Feed Costs'!G24</f>
        <v>0</v>
      </c>
      <c r="C98" s="104"/>
      <c r="D98" s="103">
        <f>'Bought In Feed Costs'!H24</f>
        <v>0</v>
      </c>
    </row>
    <row r="99" spans="1:4" x14ac:dyDescent="0.25">
      <c r="A99" s="44" t="s">
        <v>79</v>
      </c>
      <c r="B99" s="103">
        <f>'Bought In Feed Costs'!G25</f>
        <v>0</v>
      </c>
      <c r="C99" s="104"/>
      <c r="D99" s="103">
        <f>'Bought In Feed Costs'!H25</f>
        <v>0</v>
      </c>
    </row>
    <row r="100" spans="1:4" x14ac:dyDescent="0.25">
      <c r="A100" s="44" t="s">
        <v>60</v>
      </c>
      <c r="B100" s="103">
        <f>'Bought In Feed Costs'!G26</f>
        <v>0</v>
      </c>
      <c r="C100" s="104"/>
      <c r="D100" s="103">
        <f>'Bought In Feed Costs'!H26</f>
        <v>0</v>
      </c>
    </row>
  </sheetData>
  <pageMargins left="0.7" right="0.7" top="0.75" bottom="0.75" header="0.3" footer="0.3"/>
  <pageSetup paperSize="9" scale="92" orientation="portrait" horizontalDpi="0" verticalDpi="0" r:id="rId1"/>
  <rowBreaks count="1" manualBreakCount="1">
    <brk id="61"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6"/>
  <sheetViews>
    <sheetView zoomScaleNormal="100" workbookViewId="0">
      <selection activeCell="G34" sqref="G34"/>
    </sheetView>
  </sheetViews>
  <sheetFormatPr defaultRowHeight="15" x14ac:dyDescent="0.25"/>
  <cols>
    <col min="1" max="1" width="40.5703125" customWidth="1"/>
    <col min="2" max="3" width="15.5703125" customWidth="1"/>
    <col min="4" max="4" width="16.5703125" customWidth="1"/>
    <col min="5" max="8" width="15.5703125" customWidth="1"/>
  </cols>
  <sheetData>
    <row r="1" spans="1:5" ht="18.75" x14ac:dyDescent="0.3">
      <c r="A1" s="7" t="s">
        <v>159</v>
      </c>
      <c r="B1" s="5" t="s">
        <v>229</v>
      </c>
    </row>
    <row r="2" spans="1:5" x14ac:dyDescent="0.25">
      <c r="A2" s="5" t="s">
        <v>237</v>
      </c>
      <c r="B2" s="127"/>
      <c r="C2" s="128"/>
    </row>
    <row r="3" spans="1:5" x14ac:dyDescent="0.25">
      <c r="A3" s="5" t="s">
        <v>238</v>
      </c>
      <c r="B3" s="3" t="s">
        <v>239</v>
      </c>
    </row>
    <row r="4" spans="1:5" x14ac:dyDescent="0.25">
      <c r="A4" s="5" t="s">
        <v>171</v>
      </c>
      <c r="B4" s="114">
        <v>2017</v>
      </c>
      <c r="C4" s="130" t="s">
        <v>244</v>
      </c>
    </row>
    <row r="5" spans="1:5" x14ac:dyDescent="0.25">
      <c r="A5" t="s">
        <v>160</v>
      </c>
      <c r="B5" s="131"/>
      <c r="C5" s="131"/>
    </row>
    <row r="6" spans="1:5" x14ac:dyDescent="0.25">
      <c r="A6" t="s">
        <v>161</v>
      </c>
      <c r="B6" s="131"/>
      <c r="C6" s="131"/>
    </row>
    <row r="7" spans="1:5" x14ac:dyDescent="0.25">
      <c r="A7" t="s">
        <v>162</v>
      </c>
      <c r="B7" s="131"/>
      <c r="C7" s="131"/>
    </row>
    <row r="8" spans="1:5" x14ac:dyDescent="0.25">
      <c r="A8" t="s">
        <v>163</v>
      </c>
      <c r="B8" s="131"/>
      <c r="C8" s="131"/>
    </row>
    <row r="9" spans="1:5" x14ac:dyDescent="0.25">
      <c r="A9" t="s">
        <v>164</v>
      </c>
      <c r="B9" s="131"/>
      <c r="C9" s="131"/>
    </row>
    <row r="10" spans="1:5" x14ac:dyDescent="0.25">
      <c r="A10" t="s">
        <v>165</v>
      </c>
      <c r="B10" s="131"/>
      <c r="C10" s="131"/>
    </row>
    <row r="11" spans="1:5" x14ac:dyDescent="0.25">
      <c r="A11" t="s">
        <v>167</v>
      </c>
      <c r="B11" s="131"/>
      <c r="C11" s="131"/>
    </row>
    <row r="12" spans="1:5" x14ac:dyDescent="0.25">
      <c r="B12" s="131"/>
      <c r="C12" s="131"/>
    </row>
    <row r="13" spans="1:5" x14ac:dyDescent="0.25">
      <c r="B13" s="131"/>
      <c r="C13" s="131"/>
    </row>
    <row r="14" spans="1:5" x14ac:dyDescent="0.25">
      <c r="B14" s="131"/>
      <c r="C14" s="131"/>
      <c r="D14" s="5" t="s">
        <v>191</v>
      </c>
      <c r="E14" s="114">
        <f>B5+B6+B7+B8+B9+B10+B11+B12+B13+B14</f>
        <v>0</v>
      </c>
    </row>
    <row r="15" spans="1:5" x14ac:dyDescent="0.25">
      <c r="D15" s="5" t="s">
        <v>243</v>
      </c>
      <c r="E15" s="16">
        <f>B5*C5+B6*C6+B7*C7+B8*C8+B9*C9+B10*C10+B11*C11+B12*C12+B13*C13+B14*C14</f>
        <v>0</v>
      </c>
    </row>
    <row r="16" spans="1:5" x14ac:dyDescent="0.25">
      <c r="A16" s="5" t="s">
        <v>235</v>
      </c>
    </row>
    <row r="17" spans="1:3" x14ac:dyDescent="0.25">
      <c r="A17" t="s">
        <v>168</v>
      </c>
      <c r="B17" s="87"/>
    </row>
    <row r="18" spans="1:3" x14ac:dyDescent="0.25">
      <c r="A18" t="s">
        <v>169</v>
      </c>
      <c r="B18" s="87"/>
    </row>
    <row r="19" spans="1:3" x14ac:dyDescent="0.25">
      <c r="A19" t="s">
        <v>166</v>
      </c>
      <c r="B19" s="87"/>
    </row>
    <row r="20" spans="1:3" x14ac:dyDescent="0.25">
      <c r="A20" t="s">
        <v>170</v>
      </c>
      <c r="B20" s="87"/>
    </row>
    <row r="21" spans="1:3" x14ac:dyDescent="0.25">
      <c r="A21" t="s">
        <v>173</v>
      </c>
      <c r="B21" s="86"/>
    </row>
    <row r="22" spans="1:3" x14ac:dyDescent="0.25">
      <c r="A22" t="s">
        <v>236</v>
      </c>
      <c r="B22" s="86"/>
    </row>
    <row r="23" spans="1:3" x14ac:dyDescent="0.25">
      <c r="A23" s="5" t="s">
        <v>46</v>
      </c>
      <c r="B23" s="111">
        <f>B17+B18+B19+B20+B21+B22</f>
        <v>0</v>
      </c>
    </row>
    <row r="26" spans="1:3" x14ac:dyDescent="0.25">
      <c r="A26" t="s">
        <v>172</v>
      </c>
      <c r="B26" s="86"/>
      <c r="C26" t="s">
        <v>230</v>
      </c>
    </row>
  </sheetData>
  <pageMargins left="0.7" right="0.7" top="0.75" bottom="0.75" header="0.3" footer="0.3"/>
  <pageSetup paperSize="9" scale="84"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8"/>
  <sheetViews>
    <sheetView topLeftCell="A37" zoomScaleNormal="100" zoomScaleSheetLayoutView="68" workbookViewId="0">
      <selection activeCell="D37" sqref="D37"/>
    </sheetView>
  </sheetViews>
  <sheetFormatPr defaultRowHeight="15" x14ac:dyDescent="0.25"/>
  <cols>
    <col min="1" max="1" width="25.5703125" customWidth="1"/>
    <col min="2" max="12" width="15.5703125" customWidth="1"/>
  </cols>
  <sheetData>
    <row r="1" spans="1:9" ht="18.75" x14ac:dyDescent="0.3">
      <c r="A1" s="7" t="s">
        <v>0</v>
      </c>
    </row>
    <row r="2" spans="1:9" ht="18.75" x14ac:dyDescent="0.3">
      <c r="A2" s="7" t="s">
        <v>96</v>
      </c>
      <c r="C2" s="52" t="s">
        <v>89</v>
      </c>
      <c r="D2" s="16"/>
      <c r="E2" s="16"/>
      <c r="F2" s="16"/>
    </row>
    <row r="3" spans="1:9" x14ac:dyDescent="0.25">
      <c r="B3" s="16" t="s">
        <v>70</v>
      </c>
      <c r="C3" s="16" t="s">
        <v>71</v>
      </c>
      <c r="D3" s="16" t="s">
        <v>72</v>
      </c>
      <c r="E3" s="16" t="s">
        <v>73</v>
      </c>
      <c r="F3" s="16" t="s">
        <v>80</v>
      </c>
    </row>
    <row r="4" spans="1:9" x14ac:dyDescent="0.25">
      <c r="A4" t="s">
        <v>81</v>
      </c>
      <c r="B4" s="53">
        <v>0</v>
      </c>
      <c r="C4" s="53">
        <v>0</v>
      </c>
      <c r="D4" s="53">
        <v>0</v>
      </c>
      <c r="E4" s="53">
        <v>0</v>
      </c>
      <c r="F4" s="53">
        <v>0</v>
      </c>
      <c r="H4" t="s">
        <v>178</v>
      </c>
      <c r="I4" s="88">
        <f>((B4*B5)+(C4*C5)+(D4*D5)+(E4*E5)+(F4*F5))*1000</f>
        <v>0</v>
      </c>
    </row>
    <row r="5" spans="1:9" x14ac:dyDescent="0.25">
      <c r="A5" t="s">
        <v>93</v>
      </c>
      <c r="B5" s="53">
        <v>0</v>
      </c>
      <c r="C5" s="53">
        <v>0</v>
      </c>
      <c r="D5" s="53">
        <v>0</v>
      </c>
      <c r="E5" s="53">
        <v>0</v>
      </c>
      <c r="F5" s="53">
        <v>0</v>
      </c>
      <c r="H5" t="s">
        <v>181</v>
      </c>
      <c r="I5" s="88">
        <f>(B4*B5*1000*B7)+(C4*C5*1000*C7)+(D4*D5*1000*D7)+(E4*E5*1000*E7)+(F4*F5*1000*F7)</f>
        <v>0</v>
      </c>
    </row>
    <row r="6" spans="1:9" x14ac:dyDescent="0.25">
      <c r="A6" t="s">
        <v>51</v>
      </c>
      <c r="B6" s="69">
        <v>0.85</v>
      </c>
      <c r="C6" s="69">
        <v>0.85</v>
      </c>
      <c r="D6" s="69">
        <v>0.85</v>
      </c>
      <c r="E6" s="69">
        <v>0.85</v>
      </c>
      <c r="F6" s="69">
        <v>0.9</v>
      </c>
    </row>
    <row r="7" spans="1:9" x14ac:dyDescent="0.25">
      <c r="A7" t="s">
        <v>106</v>
      </c>
      <c r="B7" s="71">
        <v>11.5</v>
      </c>
      <c r="C7" s="71">
        <v>11.5</v>
      </c>
      <c r="D7" s="71">
        <v>11.5</v>
      </c>
      <c r="E7" s="71">
        <v>11.5</v>
      </c>
      <c r="F7" s="71">
        <v>12</v>
      </c>
    </row>
    <row r="8" spans="1:9" x14ac:dyDescent="0.25">
      <c r="A8" t="s">
        <v>82</v>
      </c>
      <c r="B8" s="40">
        <v>0</v>
      </c>
      <c r="C8" s="40">
        <v>0</v>
      </c>
      <c r="D8" s="40">
        <v>0</v>
      </c>
      <c r="E8" s="40">
        <v>0</v>
      </c>
      <c r="F8" s="40">
        <v>0</v>
      </c>
    </row>
    <row r="9" spans="1:9" x14ac:dyDescent="0.25">
      <c r="A9" t="s">
        <v>90</v>
      </c>
      <c r="B9" s="40">
        <v>0</v>
      </c>
      <c r="C9" s="40">
        <v>0</v>
      </c>
      <c r="D9" s="40">
        <v>0</v>
      </c>
      <c r="E9" s="40">
        <v>0</v>
      </c>
      <c r="F9" s="40">
        <v>0</v>
      </c>
      <c r="G9" s="5" t="s">
        <v>91</v>
      </c>
    </row>
    <row r="10" spans="1:9" x14ac:dyDescent="0.25">
      <c r="A10" t="s">
        <v>94</v>
      </c>
      <c r="B10" s="40">
        <v>0</v>
      </c>
      <c r="C10" s="40">
        <v>0</v>
      </c>
      <c r="D10" s="40">
        <v>0</v>
      </c>
      <c r="E10" s="40">
        <v>0</v>
      </c>
      <c r="F10" s="40">
        <v>0</v>
      </c>
    </row>
    <row r="11" spans="1:9" x14ac:dyDescent="0.25">
      <c r="A11" t="s">
        <v>92</v>
      </c>
      <c r="B11" s="40">
        <v>0</v>
      </c>
      <c r="C11" s="40">
        <v>0</v>
      </c>
      <c r="D11" s="40">
        <v>0</v>
      </c>
      <c r="E11" s="40">
        <v>0</v>
      </c>
      <c r="F11" s="40">
        <v>0</v>
      </c>
    </row>
    <row r="12" spans="1:9" x14ac:dyDescent="0.25">
      <c r="A12" t="s">
        <v>83</v>
      </c>
      <c r="B12" s="40">
        <v>0</v>
      </c>
      <c r="C12" s="40">
        <v>0</v>
      </c>
      <c r="D12" s="40">
        <v>0</v>
      </c>
      <c r="E12" s="40">
        <v>0</v>
      </c>
      <c r="F12" s="40">
        <v>0</v>
      </c>
    </row>
    <row r="13" spans="1:9" x14ac:dyDescent="0.25">
      <c r="A13" t="s">
        <v>84</v>
      </c>
      <c r="B13" s="40">
        <v>0</v>
      </c>
      <c r="C13" s="40">
        <v>0</v>
      </c>
      <c r="D13" s="40">
        <v>0</v>
      </c>
      <c r="E13" s="40">
        <v>0</v>
      </c>
      <c r="F13" s="40">
        <v>0</v>
      </c>
    </row>
    <row r="14" spans="1:9" x14ac:dyDescent="0.25">
      <c r="A14" t="s">
        <v>85</v>
      </c>
      <c r="B14" s="40">
        <v>0</v>
      </c>
      <c r="C14" s="40">
        <v>0</v>
      </c>
      <c r="D14" s="40">
        <v>0</v>
      </c>
      <c r="E14" s="40">
        <v>0</v>
      </c>
      <c r="F14" s="40">
        <v>0</v>
      </c>
    </row>
    <row r="15" spans="1:9" x14ac:dyDescent="0.25">
      <c r="A15" t="s">
        <v>86</v>
      </c>
      <c r="B15" s="40">
        <v>0</v>
      </c>
      <c r="C15" s="40">
        <v>0</v>
      </c>
      <c r="D15" s="40">
        <v>0</v>
      </c>
      <c r="E15" s="40">
        <v>0</v>
      </c>
      <c r="F15" s="40">
        <v>0</v>
      </c>
    </row>
    <row r="16" spans="1:9" x14ac:dyDescent="0.25">
      <c r="A16" t="s">
        <v>88</v>
      </c>
      <c r="B16" s="40">
        <v>0</v>
      </c>
      <c r="C16" s="40">
        <v>0</v>
      </c>
      <c r="D16" s="40">
        <v>0</v>
      </c>
      <c r="E16" s="40">
        <v>0</v>
      </c>
      <c r="F16" s="40">
        <v>0</v>
      </c>
    </row>
    <row r="17" spans="1:9" x14ac:dyDescent="0.25">
      <c r="A17" t="s">
        <v>87</v>
      </c>
      <c r="B17" s="40">
        <v>0</v>
      </c>
      <c r="C17" s="40">
        <v>0</v>
      </c>
      <c r="D17" s="40">
        <v>0</v>
      </c>
      <c r="E17" s="40">
        <v>0</v>
      </c>
      <c r="F17" s="40">
        <v>0</v>
      </c>
    </row>
    <row r="18" spans="1:9" x14ac:dyDescent="0.25">
      <c r="A18" s="5" t="s">
        <v>240</v>
      </c>
      <c r="B18" s="40">
        <v>0</v>
      </c>
      <c r="C18" s="40">
        <v>0</v>
      </c>
      <c r="D18" s="40">
        <v>0</v>
      </c>
      <c r="E18" s="40">
        <v>0</v>
      </c>
      <c r="F18" s="40">
        <v>0</v>
      </c>
      <c r="G18" s="5" t="s">
        <v>241</v>
      </c>
    </row>
    <row r="19" spans="1:9" x14ac:dyDescent="0.25">
      <c r="A19" s="5" t="s">
        <v>147</v>
      </c>
      <c r="B19" s="82">
        <f>SUM(B8:B18)</f>
        <v>0</v>
      </c>
      <c r="C19" s="82">
        <f t="shared" ref="C19:F19" si="0">SUM(C8:C18)</f>
        <v>0</v>
      </c>
      <c r="D19" s="82">
        <f t="shared" si="0"/>
        <v>0</v>
      </c>
      <c r="E19" s="82">
        <f t="shared" si="0"/>
        <v>0</v>
      </c>
      <c r="F19" s="82">
        <f t="shared" si="0"/>
        <v>0</v>
      </c>
    </row>
    <row r="20" spans="1:9" x14ac:dyDescent="0.25">
      <c r="A20" s="97" t="s">
        <v>215</v>
      </c>
      <c r="B20" s="102">
        <f>IFERROR((B19*100)/(B5*1000*B6),0)</f>
        <v>0</v>
      </c>
      <c r="C20" s="102">
        <f>IFERROR((C19*100)/(C5*1000*C6),0)</f>
        <v>0</v>
      </c>
      <c r="D20" s="102">
        <f>IFERROR((D19*100)/(D5*1000*D6),0)</f>
        <v>0</v>
      </c>
      <c r="E20" s="102">
        <f>IFERROR((E19*100)/(E5*1000*E6),0)</f>
        <v>0</v>
      </c>
      <c r="F20" s="102">
        <f>IFERROR((F19*100)/(F5*1000*F6),0)</f>
        <v>0</v>
      </c>
    </row>
    <row r="21" spans="1:9" x14ac:dyDescent="0.25">
      <c r="A21" s="97" t="s">
        <v>216</v>
      </c>
      <c r="B21" s="102">
        <f>IFERROR((B19*100)/(B5*1000*B6*B7),0)</f>
        <v>0</v>
      </c>
      <c r="C21" s="102">
        <f>IFERROR((C19*100)/(C5*1000*C6*C7),0)</f>
        <v>0</v>
      </c>
      <c r="D21" s="102">
        <f>IFERROR((D19*100)/(D5*1000*D6*D7),0)</f>
        <v>0</v>
      </c>
      <c r="E21" s="102">
        <f>IFERROR((E19*100)/(E5*1000*E6*E7),0)</f>
        <v>0</v>
      </c>
      <c r="F21" s="102">
        <f>IFERROR((F19*100)/(F5*1000*F6*F7),0)</f>
        <v>0</v>
      </c>
    </row>
    <row r="23" spans="1:9" ht="18.75" x14ac:dyDescent="0.3">
      <c r="A23" s="112" t="s">
        <v>95</v>
      </c>
    </row>
    <row r="24" spans="1:9" x14ac:dyDescent="0.25">
      <c r="B24" s="3" t="s">
        <v>70</v>
      </c>
      <c r="C24" s="16" t="s">
        <v>71</v>
      </c>
      <c r="D24" s="3" t="s">
        <v>72</v>
      </c>
      <c r="E24" s="16" t="s">
        <v>73</v>
      </c>
    </row>
    <row r="25" spans="1:9" x14ac:dyDescent="0.25">
      <c r="A25" t="s">
        <v>81</v>
      </c>
      <c r="B25" s="53">
        <v>0</v>
      </c>
      <c r="C25" s="53">
        <v>0</v>
      </c>
      <c r="D25" s="53">
        <v>0</v>
      </c>
      <c r="E25" s="53">
        <v>0</v>
      </c>
      <c r="H25" t="s">
        <v>178</v>
      </c>
      <c r="I25" s="88">
        <f>((B25*B26)+(C25*C26)+(D25*D26)+(E25*E26))*1000</f>
        <v>0</v>
      </c>
    </row>
    <row r="26" spans="1:9" x14ac:dyDescent="0.25">
      <c r="A26" t="s">
        <v>93</v>
      </c>
      <c r="B26" s="53">
        <v>0</v>
      </c>
      <c r="C26" s="53">
        <v>0</v>
      </c>
      <c r="D26" s="53">
        <v>0</v>
      </c>
      <c r="E26" s="53">
        <v>0</v>
      </c>
      <c r="H26" t="s">
        <v>181</v>
      </c>
      <c r="I26" s="88">
        <f>(B25*B26*1000*B7)+(C25*C26*1000*C7)+(D25*D26*1000*D7)+(E25*E26*1000*E7)</f>
        <v>0</v>
      </c>
    </row>
    <row r="27" spans="1:9" x14ac:dyDescent="0.25">
      <c r="A27" t="s">
        <v>51</v>
      </c>
      <c r="B27" s="69">
        <v>0.85</v>
      </c>
      <c r="C27" s="69">
        <v>0.85</v>
      </c>
      <c r="D27" s="69">
        <v>0.85</v>
      </c>
      <c r="E27" s="69">
        <v>0.85</v>
      </c>
    </row>
    <row r="28" spans="1:9" x14ac:dyDescent="0.25">
      <c r="A28" t="s">
        <v>82</v>
      </c>
      <c r="B28" s="40">
        <v>0</v>
      </c>
      <c r="C28" s="40">
        <v>0</v>
      </c>
      <c r="D28" s="40">
        <v>0</v>
      </c>
      <c r="E28" s="40">
        <v>0</v>
      </c>
    </row>
    <row r="29" spans="1:9" x14ac:dyDescent="0.25">
      <c r="A29" t="s">
        <v>98</v>
      </c>
      <c r="B29" s="40">
        <v>0</v>
      </c>
      <c r="C29" s="40">
        <v>0</v>
      </c>
      <c r="D29" s="40">
        <v>0</v>
      </c>
      <c r="E29" s="40">
        <v>0</v>
      </c>
    </row>
    <row r="30" spans="1:9" x14ac:dyDescent="0.25">
      <c r="A30" t="s">
        <v>97</v>
      </c>
      <c r="B30" s="40">
        <v>0</v>
      </c>
      <c r="C30" s="40">
        <v>0</v>
      </c>
      <c r="D30" s="40">
        <v>0</v>
      </c>
      <c r="E30" s="40">
        <v>0</v>
      </c>
    </row>
    <row r="31" spans="1:9" x14ac:dyDescent="0.25">
      <c r="A31" t="s">
        <v>92</v>
      </c>
      <c r="B31" s="40">
        <v>0</v>
      </c>
      <c r="C31" s="40">
        <v>0</v>
      </c>
      <c r="D31" s="40">
        <v>0</v>
      </c>
      <c r="E31" s="40">
        <v>0</v>
      </c>
    </row>
    <row r="32" spans="1:9" x14ac:dyDescent="0.25">
      <c r="A32" t="s">
        <v>83</v>
      </c>
      <c r="B32" s="40">
        <v>0</v>
      </c>
      <c r="C32" s="40">
        <v>0</v>
      </c>
      <c r="D32" s="40">
        <v>0</v>
      </c>
      <c r="E32" s="40">
        <v>0</v>
      </c>
    </row>
    <row r="33" spans="1:9" x14ac:dyDescent="0.25">
      <c r="A33" t="s">
        <v>85</v>
      </c>
      <c r="B33" s="40">
        <v>0</v>
      </c>
      <c r="C33" s="40">
        <v>0</v>
      </c>
      <c r="D33" s="40">
        <v>0</v>
      </c>
      <c r="E33" s="40">
        <v>0</v>
      </c>
    </row>
    <row r="34" spans="1:9" x14ac:dyDescent="0.25">
      <c r="A34" t="s">
        <v>86</v>
      </c>
      <c r="B34" s="40">
        <v>0</v>
      </c>
      <c r="C34" s="40">
        <v>0</v>
      </c>
      <c r="D34" s="40">
        <v>0</v>
      </c>
      <c r="E34" s="40">
        <v>0</v>
      </c>
    </row>
    <row r="35" spans="1:9" x14ac:dyDescent="0.25">
      <c r="A35" t="s">
        <v>88</v>
      </c>
      <c r="B35" s="40">
        <v>0</v>
      </c>
      <c r="C35" s="40">
        <v>0</v>
      </c>
      <c r="D35" s="40">
        <v>0</v>
      </c>
      <c r="E35" s="40">
        <v>0</v>
      </c>
    </row>
    <row r="36" spans="1:9" x14ac:dyDescent="0.25">
      <c r="A36" t="s">
        <v>87</v>
      </c>
      <c r="B36" s="40">
        <v>0</v>
      </c>
      <c r="C36" s="40">
        <v>0</v>
      </c>
      <c r="D36" s="40">
        <v>0</v>
      </c>
      <c r="E36" s="40">
        <v>0</v>
      </c>
    </row>
    <row r="37" spans="1:9" x14ac:dyDescent="0.25">
      <c r="A37" s="5" t="s">
        <v>240</v>
      </c>
      <c r="B37" s="40">
        <v>0</v>
      </c>
      <c r="C37" s="40">
        <v>0</v>
      </c>
      <c r="D37" s="40">
        <v>0</v>
      </c>
      <c r="E37" s="40">
        <v>0</v>
      </c>
      <c r="F37" s="5" t="s">
        <v>241</v>
      </c>
    </row>
    <row r="38" spans="1:9" x14ac:dyDescent="0.25">
      <c r="A38" s="5" t="s">
        <v>147</v>
      </c>
      <c r="B38" s="82">
        <f>SUM(B28:B37)</f>
        <v>0</v>
      </c>
      <c r="C38" s="82">
        <f t="shared" ref="C38:E38" si="1">SUM(C28:C37)</f>
        <v>0</v>
      </c>
      <c r="D38" s="82">
        <f t="shared" si="1"/>
        <v>0</v>
      </c>
      <c r="E38" s="82">
        <f t="shared" si="1"/>
        <v>0</v>
      </c>
    </row>
    <row r="39" spans="1:9" x14ac:dyDescent="0.25">
      <c r="A39" s="97" t="s">
        <v>215</v>
      </c>
      <c r="B39" s="105">
        <f>IFERROR((B38*100)/(B26*1000*B27),0)</f>
        <v>0</v>
      </c>
      <c r="C39" s="105">
        <f>IFERROR((C38*100)/(C26*1000*C27),0)</f>
        <v>0</v>
      </c>
      <c r="D39" s="105">
        <f>IFERROR((D38*100)/(D26*1000*D27),0)</f>
        <v>0</v>
      </c>
      <c r="E39" s="105">
        <f>IFERROR((E38*100)/(E26*1000*E27),0)</f>
        <v>0</v>
      </c>
    </row>
    <row r="40" spans="1:9" x14ac:dyDescent="0.25">
      <c r="A40" s="97" t="s">
        <v>216</v>
      </c>
      <c r="B40" s="105">
        <f>IFERROR((B38*100)/(B26*1000*B27*B7),0)</f>
        <v>0</v>
      </c>
      <c r="C40" s="105">
        <f>IFERROR((C38*100)/(C26*1000*C27*C7),0)</f>
        <v>0</v>
      </c>
      <c r="D40" s="105">
        <f>IFERROR((D38*100)/(D26*1000*D27*D7),0)</f>
        <v>0</v>
      </c>
      <c r="E40" s="105">
        <f>IFERROR((E38*100)/(E26*1000*E27*E7),0)</f>
        <v>0</v>
      </c>
    </row>
    <row r="42" spans="1:9" ht="18.75" x14ac:dyDescent="0.3">
      <c r="A42" s="7" t="s">
        <v>99</v>
      </c>
      <c r="F42" s="31"/>
      <c r="G42" s="31"/>
      <c r="H42" s="31"/>
      <c r="I42" s="31"/>
    </row>
    <row r="43" spans="1:9" x14ac:dyDescent="0.25">
      <c r="B43" s="16" t="s">
        <v>70</v>
      </c>
      <c r="C43" s="16" t="s">
        <v>71</v>
      </c>
      <c r="D43" s="16" t="s">
        <v>72</v>
      </c>
      <c r="E43" s="16" t="s">
        <v>73</v>
      </c>
      <c r="F43" s="56"/>
      <c r="G43" s="56"/>
      <c r="H43" s="31"/>
      <c r="I43" s="31"/>
    </row>
    <row r="44" spans="1:9" x14ac:dyDescent="0.25">
      <c r="A44" t="s">
        <v>81</v>
      </c>
      <c r="B44" s="53">
        <v>0</v>
      </c>
      <c r="C44" s="53">
        <v>0</v>
      </c>
      <c r="D44" s="53">
        <v>0</v>
      </c>
      <c r="E44" s="53">
        <v>0</v>
      </c>
      <c r="F44" s="55"/>
      <c r="H44" s="94" t="s">
        <v>178</v>
      </c>
      <c r="I44" s="90">
        <f>((B44*B45)+(C44*C45)+(D44*D45)+(E44*E45))*1000</f>
        <v>0</v>
      </c>
    </row>
    <row r="45" spans="1:9" x14ac:dyDescent="0.25">
      <c r="A45" t="s">
        <v>93</v>
      </c>
      <c r="B45" s="53">
        <v>0</v>
      </c>
      <c r="C45" s="53">
        <v>0</v>
      </c>
      <c r="D45" s="53">
        <v>0</v>
      </c>
      <c r="E45" s="53">
        <v>0</v>
      </c>
      <c r="F45" s="2"/>
      <c r="G45" s="58"/>
      <c r="H45" s="31" t="s">
        <v>181</v>
      </c>
      <c r="I45" s="90">
        <f>(B44*B45*1000*B7)+(C44*C45*1000*C7)+(D44*D45*1000*D7)+(E44*E45*1000*E7)</f>
        <v>0</v>
      </c>
    </row>
    <row r="46" spans="1:9" x14ac:dyDescent="0.25">
      <c r="A46" t="s">
        <v>51</v>
      </c>
      <c r="B46" s="69">
        <v>0.85</v>
      </c>
      <c r="C46" s="69">
        <v>0.85</v>
      </c>
      <c r="D46" s="69">
        <v>0.85</v>
      </c>
      <c r="E46" s="69">
        <v>0.85</v>
      </c>
      <c r="F46" s="2"/>
      <c r="G46" s="58"/>
      <c r="H46" s="31"/>
      <c r="I46" s="31"/>
    </row>
    <row r="47" spans="1:9" x14ac:dyDescent="0.25">
      <c r="A47" t="s">
        <v>82</v>
      </c>
      <c r="B47" s="40">
        <v>0</v>
      </c>
      <c r="C47" s="40">
        <v>0</v>
      </c>
      <c r="D47" s="40">
        <v>0</v>
      </c>
      <c r="E47" s="40">
        <v>0</v>
      </c>
      <c r="F47" s="2"/>
      <c r="G47" s="58"/>
      <c r="H47" s="31"/>
      <c r="I47" s="31"/>
    </row>
    <row r="48" spans="1:9" x14ac:dyDescent="0.25">
      <c r="A48" t="s">
        <v>100</v>
      </c>
      <c r="B48" s="40">
        <v>0</v>
      </c>
      <c r="C48" s="40">
        <v>0</v>
      </c>
      <c r="D48" s="40">
        <v>0</v>
      </c>
      <c r="E48" s="40">
        <v>0</v>
      </c>
      <c r="F48" s="2"/>
      <c r="G48" s="58"/>
      <c r="H48" s="31"/>
      <c r="I48" s="31"/>
    </row>
    <row r="49" spans="1:9" x14ac:dyDescent="0.25">
      <c r="A49" t="s">
        <v>92</v>
      </c>
      <c r="B49" s="40">
        <v>0</v>
      </c>
      <c r="C49" s="40">
        <v>0</v>
      </c>
      <c r="D49" s="40">
        <v>0</v>
      </c>
      <c r="E49" s="40">
        <v>0</v>
      </c>
      <c r="F49" s="2"/>
      <c r="G49" s="58"/>
      <c r="H49" s="31"/>
      <c r="I49" s="31"/>
    </row>
    <row r="50" spans="1:9" x14ac:dyDescent="0.25">
      <c r="A50" t="s">
        <v>83</v>
      </c>
      <c r="B50" s="40">
        <v>0</v>
      </c>
      <c r="C50" s="40">
        <v>0</v>
      </c>
      <c r="D50" s="40">
        <v>0</v>
      </c>
      <c r="E50" s="40">
        <v>0</v>
      </c>
      <c r="F50" s="2"/>
      <c r="G50" s="58"/>
      <c r="H50" s="31"/>
      <c r="I50" s="31"/>
    </row>
    <row r="51" spans="1:9" x14ac:dyDescent="0.25">
      <c r="A51" t="s">
        <v>85</v>
      </c>
      <c r="B51" s="40">
        <v>0</v>
      </c>
      <c r="C51" s="40">
        <v>0</v>
      </c>
      <c r="D51" s="40">
        <v>0</v>
      </c>
      <c r="E51" s="40">
        <v>0</v>
      </c>
      <c r="F51" s="2"/>
      <c r="G51" s="58"/>
      <c r="H51" s="31"/>
      <c r="I51" s="31"/>
    </row>
    <row r="52" spans="1:9" x14ac:dyDescent="0.25">
      <c r="A52" t="s">
        <v>86</v>
      </c>
      <c r="B52" s="40">
        <v>0</v>
      </c>
      <c r="C52" s="40">
        <v>0</v>
      </c>
      <c r="D52" s="40">
        <v>0</v>
      </c>
      <c r="E52" s="40">
        <v>0</v>
      </c>
      <c r="F52" s="2"/>
      <c r="G52" s="58"/>
      <c r="H52" s="31"/>
      <c r="I52" s="31"/>
    </row>
    <row r="53" spans="1:9" x14ac:dyDescent="0.25">
      <c r="A53" t="s">
        <v>88</v>
      </c>
      <c r="B53" s="40">
        <v>0</v>
      </c>
      <c r="C53" s="40">
        <v>0</v>
      </c>
      <c r="D53" s="40">
        <v>0</v>
      </c>
      <c r="E53" s="40">
        <v>0</v>
      </c>
      <c r="F53" s="2"/>
      <c r="G53" s="58"/>
      <c r="H53" s="31"/>
      <c r="I53" s="31"/>
    </row>
    <row r="54" spans="1:9" x14ac:dyDescent="0.25">
      <c r="A54" t="s">
        <v>87</v>
      </c>
      <c r="B54" s="40">
        <v>0</v>
      </c>
      <c r="C54" s="40">
        <v>0</v>
      </c>
      <c r="D54" s="40">
        <v>0</v>
      </c>
      <c r="E54" s="40">
        <v>0</v>
      </c>
      <c r="F54" s="57"/>
      <c r="G54" s="58"/>
      <c r="H54" s="31"/>
      <c r="I54" s="31"/>
    </row>
    <row r="55" spans="1:9" x14ac:dyDescent="0.25">
      <c r="A55" s="5" t="s">
        <v>242</v>
      </c>
      <c r="B55" s="40">
        <v>0</v>
      </c>
      <c r="C55" s="40">
        <v>0</v>
      </c>
      <c r="D55" s="40">
        <v>0</v>
      </c>
      <c r="E55" s="40">
        <v>0</v>
      </c>
      <c r="F55" s="5" t="s">
        <v>241</v>
      </c>
    </row>
    <row r="56" spans="1:9" x14ac:dyDescent="0.25">
      <c r="A56" s="5" t="s">
        <v>147</v>
      </c>
      <c r="B56" s="81">
        <f>SUM(B47:B55)</f>
        <v>0</v>
      </c>
      <c r="C56" s="81">
        <f t="shared" ref="C56:E56" si="2">SUM(C47:C55)</f>
        <v>0</v>
      </c>
      <c r="D56" s="81">
        <f t="shared" si="2"/>
        <v>0</v>
      </c>
      <c r="E56" s="81">
        <f t="shared" si="2"/>
        <v>0</v>
      </c>
      <c r="F56" s="2"/>
      <c r="G56" s="58"/>
      <c r="H56" s="31"/>
      <c r="I56" s="31"/>
    </row>
    <row r="57" spans="1:9" x14ac:dyDescent="0.25">
      <c r="A57" s="98" t="s">
        <v>215</v>
      </c>
      <c r="B57" s="106">
        <f>IFERROR((B56*100)/(B45*1000*B46),0)</f>
        <v>0</v>
      </c>
      <c r="C57" s="106">
        <f>IFERROR((C56*100)/(C45*1000*C46),0)</f>
        <v>0</v>
      </c>
      <c r="D57" s="106">
        <f>IFERROR((D56*100)/(D45*1000*D46),0)</f>
        <v>0</v>
      </c>
      <c r="E57" s="106">
        <f>IFERROR((E56*100)/(E45*1000*E46),0)</f>
        <v>0</v>
      </c>
      <c r="F57" s="2"/>
      <c r="G57" s="58"/>
      <c r="H57" s="31"/>
      <c r="I57" s="31"/>
    </row>
    <row r="58" spans="1:9" x14ac:dyDescent="0.25">
      <c r="A58" s="99" t="s">
        <v>216</v>
      </c>
      <c r="B58" s="106">
        <f>IFERROR((B56*100)/(B45*1000*B46*B7),0)</f>
        <v>0</v>
      </c>
      <c r="C58" s="106">
        <f>IFERROR((C56*100)/(C45*1000*C46*C7),0)</f>
        <v>0</v>
      </c>
      <c r="D58" s="106">
        <f>IFERROR((D56*100)/(D45*1000*D46*D7),0)</f>
        <v>0</v>
      </c>
      <c r="E58" s="106">
        <f>IFERROR((E56*100)/(E45*1000*E46*E7),0)</f>
        <v>0</v>
      </c>
      <c r="F58" s="2"/>
      <c r="G58" s="59"/>
      <c r="H58" s="31"/>
      <c r="I58" s="31"/>
    </row>
  </sheetData>
  <pageMargins left="0.7" right="0.7" top="0.75" bottom="0.75" header="0.3" footer="0.3"/>
  <pageSetup paperSize="9" scale="58"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04"/>
  <sheetViews>
    <sheetView topLeftCell="A22" zoomScaleNormal="100" workbookViewId="0">
      <selection activeCell="D21" sqref="D21"/>
    </sheetView>
  </sheetViews>
  <sheetFormatPr defaultRowHeight="15" x14ac:dyDescent="0.25"/>
  <cols>
    <col min="1" max="1" width="40.5703125" customWidth="1"/>
    <col min="2" max="4" width="15.5703125" customWidth="1"/>
    <col min="7" max="7" width="40.5703125" customWidth="1"/>
    <col min="8" max="10" width="15.5703125" customWidth="1"/>
    <col min="13" max="13" width="40.5703125" customWidth="1"/>
    <col min="14" max="16" width="15.5703125" customWidth="1"/>
  </cols>
  <sheetData>
    <row r="1" spans="1:16" ht="18.75" x14ac:dyDescent="0.3">
      <c r="A1" s="7" t="s">
        <v>1</v>
      </c>
    </row>
    <row r="2" spans="1:16" ht="18.75" x14ac:dyDescent="0.3">
      <c r="A2" s="50" t="s">
        <v>63</v>
      </c>
      <c r="B2" s="8"/>
      <c r="G2" s="50" t="s">
        <v>64</v>
      </c>
      <c r="H2" s="8"/>
      <c r="M2" s="50" t="s">
        <v>69</v>
      </c>
      <c r="N2" s="8"/>
    </row>
    <row r="3" spans="1:16" x14ac:dyDescent="0.25">
      <c r="A3" t="s">
        <v>62</v>
      </c>
      <c r="B3" s="12"/>
      <c r="G3" t="s">
        <v>62</v>
      </c>
      <c r="H3" s="12"/>
      <c r="M3" t="s">
        <v>62</v>
      </c>
      <c r="N3" s="12"/>
    </row>
    <row r="4" spans="1:16" x14ac:dyDescent="0.25">
      <c r="A4" t="s">
        <v>2</v>
      </c>
      <c r="B4" s="11"/>
      <c r="C4" t="s">
        <v>3</v>
      </c>
      <c r="D4" t="s">
        <v>232</v>
      </c>
      <c r="G4" t="s">
        <v>2</v>
      </c>
      <c r="H4" s="11"/>
      <c r="I4" t="s">
        <v>3</v>
      </c>
      <c r="M4" t="s">
        <v>2</v>
      </c>
      <c r="N4" s="11"/>
      <c r="O4" t="s">
        <v>3</v>
      </c>
    </row>
    <row r="5" spans="1:16" x14ac:dyDescent="0.25">
      <c r="A5" t="s">
        <v>4</v>
      </c>
      <c r="B5" s="13"/>
      <c r="C5" t="s">
        <v>5</v>
      </c>
      <c r="G5" t="s">
        <v>4</v>
      </c>
      <c r="H5" s="13"/>
      <c r="I5" t="s">
        <v>5</v>
      </c>
      <c r="M5" t="s">
        <v>4</v>
      </c>
      <c r="N5" s="13"/>
      <c r="O5" t="s">
        <v>5</v>
      </c>
    </row>
    <row r="6" spans="1:16" x14ac:dyDescent="0.25">
      <c r="A6" t="s">
        <v>6</v>
      </c>
      <c r="B6" s="14"/>
      <c r="C6" t="s">
        <v>7</v>
      </c>
      <c r="G6" t="s">
        <v>6</v>
      </c>
      <c r="H6" s="14"/>
      <c r="I6" t="s">
        <v>7</v>
      </c>
      <c r="M6" t="s">
        <v>6</v>
      </c>
      <c r="N6" s="14"/>
      <c r="O6" t="s">
        <v>7</v>
      </c>
    </row>
    <row r="9" spans="1:16" x14ac:dyDescent="0.25">
      <c r="A9" t="s">
        <v>174</v>
      </c>
      <c r="B9" s="11"/>
      <c r="G9" t="s">
        <v>8</v>
      </c>
      <c r="H9" s="11"/>
      <c r="M9" t="s">
        <v>8</v>
      </c>
      <c r="N9" s="11"/>
    </row>
    <row r="10" spans="1:16" x14ac:dyDescent="0.25">
      <c r="A10" t="s">
        <v>9</v>
      </c>
      <c r="B10" s="11"/>
      <c r="G10" t="s">
        <v>9</v>
      </c>
      <c r="H10" s="11"/>
      <c r="M10" t="s">
        <v>9</v>
      </c>
      <c r="N10" s="11"/>
    </row>
    <row r="12" spans="1:16" x14ac:dyDescent="0.25">
      <c r="A12" s="5" t="s">
        <v>10</v>
      </c>
      <c r="G12" s="5" t="s">
        <v>10</v>
      </c>
      <c r="M12" s="5" t="s">
        <v>10</v>
      </c>
    </row>
    <row r="13" spans="1:16" x14ac:dyDescent="0.25">
      <c r="A13" t="s">
        <v>175</v>
      </c>
      <c r="B13" s="14"/>
      <c r="G13" t="s">
        <v>11</v>
      </c>
      <c r="H13" s="14"/>
      <c r="M13" t="s">
        <v>11</v>
      </c>
      <c r="N13" s="14"/>
    </row>
    <row r="14" spans="1:16" x14ac:dyDescent="0.25">
      <c r="A14" t="s">
        <v>231</v>
      </c>
      <c r="B14" s="45">
        <f>B13*0.4</f>
        <v>0</v>
      </c>
      <c r="G14" t="s">
        <v>12</v>
      </c>
      <c r="H14" s="45">
        <f>H13*0.25</f>
        <v>0</v>
      </c>
      <c r="M14" t="s">
        <v>12</v>
      </c>
      <c r="N14" s="45">
        <f>N13*0.25</f>
        <v>0</v>
      </c>
    </row>
    <row r="15" spans="1:16" x14ac:dyDescent="0.25">
      <c r="A15" t="s">
        <v>13</v>
      </c>
      <c r="C15" s="9">
        <f>B13-B14</f>
        <v>0</v>
      </c>
      <c r="G15" t="s">
        <v>13</v>
      </c>
      <c r="I15" s="9">
        <f>H13-H14</f>
        <v>0</v>
      </c>
      <c r="M15" t="s">
        <v>13</v>
      </c>
      <c r="O15" s="9">
        <f>N13-N14</f>
        <v>0</v>
      </c>
    </row>
    <row r="16" spans="1:16" x14ac:dyDescent="0.25">
      <c r="A16" s="5" t="s">
        <v>14</v>
      </c>
      <c r="B16" s="5"/>
      <c r="C16" s="5"/>
      <c r="D16" s="4">
        <f>IFERROR(C15/B9,0)</f>
        <v>0</v>
      </c>
      <c r="G16" s="5" t="s">
        <v>14</v>
      </c>
      <c r="H16" s="5"/>
      <c r="I16" s="5"/>
      <c r="J16" s="4">
        <f>IFERROR(I15/H9,0)</f>
        <v>0</v>
      </c>
      <c r="M16" s="5" t="s">
        <v>14</v>
      </c>
      <c r="N16" s="5"/>
      <c r="O16" s="5"/>
      <c r="P16" s="4">
        <f>IFERROR(O15/N9,0)</f>
        <v>0</v>
      </c>
    </row>
    <row r="18" spans="1:16" x14ac:dyDescent="0.25">
      <c r="A18" s="5" t="s">
        <v>67</v>
      </c>
      <c r="B18" s="11"/>
      <c r="C18" s="5" t="s">
        <v>132</v>
      </c>
      <c r="G18" s="5" t="s">
        <v>67</v>
      </c>
      <c r="H18" s="11"/>
      <c r="I18" s="5" t="s">
        <v>132</v>
      </c>
      <c r="M18" s="5" t="s">
        <v>67</v>
      </c>
      <c r="N18" s="11"/>
      <c r="O18" s="5" t="s">
        <v>132</v>
      </c>
    </row>
    <row r="20" spans="1:16" x14ac:dyDescent="0.25">
      <c r="A20" s="5" t="s">
        <v>25</v>
      </c>
      <c r="G20" s="5" t="s">
        <v>25</v>
      </c>
      <c r="M20" s="5" t="s">
        <v>25</v>
      </c>
    </row>
    <row r="21" spans="1:16" x14ac:dyDescent="0.25">
      <c r="A21" t="s">
        <v>26</v>
      </c>
      <c r="D21" s="42"/>
      <c r="G21" t="s">
        <v>26</v>
      </c>
      <c r="J21" s="42"/>
      <c r="M21" t="s">
        <v>26</v>
      </c>
      <c r="P21" s="42"/>
    </row>
    <row r="22" spans="1:16" x14ac:dyDescent="0.25">
      <c r="D22" s="44"/>
      <c r="J22" s="44"/>
      <c r="P22" s="44"/>
    </row>
    <row r="23" spans="1:16" x14ac:dyDescent="0.25">
      <c r="A23" s="5" t="s">
        <v>15</v>
      </c>
      <c r="G23" s="5" t="s">
        <v>15</v>
      </c>
      <c r="M23" s="5" t="s">
        <v>15</v>
      </c>
    </row>
    <row r="24" spans="1:16" x14ac:dyDescent="0.25">
      <c r="A24" t="s">
        <v>8</v>
      </c>
      <c r="B24">
        <f>B9</f>
        <v>0</v>
      </c>
      <c r="C24" t="s">
        <v>16</v>
      </c>
      <c r="G24" t="s">
        <v>8</v>
      </c>
      <c r="H24">
        <f>H9</f>
        <v>0</v>
      </c>
      <c r="I24" t="s">
        <v>16</v>
      </c>
      <c r="M24" t="s">
        <v>8</v>
      </c>
      <c r="N24">
        <f>N9</f>
        <v>0</v>
      </c>
      <c r="O24" t="s">
        <v>16</v>
      </c>
    </row>
    <row r="25" spans="1:16" x14ac:dyDescent="0.25">
      <c r="A25" t="s">
        <v>17</v>
      </c>
      <c r="B25" s="9">
        <f>B13*0.8</f>
        <v>0</v>
      </c>
      <c r="G25" t="s">
        <v>17</v>
      </c>
      <c r="H25" s="9">
        <f>H13*0.8</f>
        <v>0</v>
      </c>
      <c r="M25" t="s">
        <v>17</v>
      </c>
      <c r="N25" s="9">
        <f>N13*0.8</f>
        <v>0</v>
      </c>
    </row>
    <row r="26" spans="1:16" x14ac:dyDescent="0.25">
      <c r="A26" s="5" t="s">
        <v>18</v>
      </c>
      <c r="B26" s="5"/>
      <c r="C26" s="41"/>
      <c r="D26" s="4">
        <f>IFERROR(B25/B24,0)</f>
        <v>0</v>
      </c>
      <c r="G26" s="5" t="s">
        <v>18</v>
      </c>
      <c r="H26" s="5"/>
      <c r="I26" s="41"/>
      <c r="J26" s="4">
        <f>IFERROR(H25/H24,0)</f>
        <v>0</v>
      </c>
      <c r="M26" s="5" t="s">
        <v>18</v>
      </c>
      <c r="N26" s="5"/>
      <c r="O26" s="41"/>
      <c r="P26" s="4">
        <f>IFERROR(N25/N24,0)</f>
        <v>0</v>
      </c>
    </row>
    <row r="28" spans="1:16" x14ac:dyDescent="0.25">
      <c r="A28" s="5" t="s">
        <v>19</v>
      </c>
      <c r="G28" s="5" t="s">
        <v>19</v>
      </c>
      <c r="M28" s="5" t="s">
        <v>19</v>
      </c>
    </row>
    <row r="29" spans="1:16" x14ac:dyDescent="0.25">
      <c r="A29" t="s">
        <v>20</v>
      </c>
      <c r="D29" s="4">
        <f>B4*0.24</f>
        <v>0</v>
      </c>
      <c r="G29" t="s">
        <v>20</v>
      </c>
      <c r="J29" s="4">
        <f>H4*0.24</f>
        <v>0</v>
      </c>
      <c r="M29" t="s">
        <v>20</v>
      </c>
      <c r="P29" s="4">
        <f>N4*0.24</f>
        <v>0</v>
      </c>
    </row>
    <row r="30" spans="1:16" x14ac:dyDescent="0.25">
      <c r="A30" t="s">
        <v>28</v>
      </c>
      <c r="D30" s="4">
        <f>D29*0.16</f>
        <v>0</v>
      </c>
      <c r="G30" t="s">
        <v>28</v>
      </c>
      <c r="J30" s="4">
        <f>J29*0.16</f>
        <v>0</v>
      </c>
      <c r="M30" t="s">
        <v>28</v>
      </c>
      <c r="P30" s="4">
        <f>P29*0.16</f>
        <v>0</v>
      </c>
    </row>
    <row r="31" spans="1:16" x14ac:dyDescent="0.25">
      <c r="A31" t="s">
        <v>27</v>
      </c>
      <c r="D31" s="4">
        <f>IFERROR(B6/B10,0)</f>
        <v>0</v>
      </c>
      <c r="G31" t="s">
        <v>27</v>
      </c>
      <c r="J31" s="4">
        <f>IFERROR(H6/H10,0)</f>
        <v>0</v>
      </c>
      <c r="M31" t="s">
        <v>27</v>
      </c>
      <c r="P31" s="4">
        <f>IFERROR(N6/N10,0)</f>
        <v>0</v>
      </c>
    </row>
    <row r="35" spans="1:16" x14ac:dyDescent="0.25">
      <c r="A35" s="5" t="s">
        <v>21</v>
      </c>
      <c r="G35" s="5" t="s">
        <v>21</v>
      </c>
      <c r="M35" s="5" t="s">
        <v>21</v>
      </c>
    </row>
    <row r="36" spans="1:16" x14ac:dyDescent="0.25">
      <c r="A36" t="s">
        <v>22</v>
      </c>
      <c r="B36" s="9">
        <f>B13</f>
        <v>0</v>
      </c>
      <c r="G36" t="s">
        <v>22</v>
      </c>
      <c r="H36" s="9">
        <f>H13</f>
        <v>0</v>
      </c>
      <c r="M36" t="s">
        <v>22</v>
      </c>
      <c r="N36" s="9">
        <f>N13</f>
        <v>0</v>
      </c>
    </row>
    <row r="37" spans="1:16" x14ac:dyDescent="0.25">
      <c r="A37" t="s">
        <v>23</v>
      </c>
      <c r="B37" s="9">
        <f>B14</f>
        <v>0</v>
      </c>
      <c r="G37" t="s">
        <v>23</v>
      </c>
      <c r="H37" s="9">
        <f>H14</f>
        <v>0</v>
      </c>
      <c r="M37" t="s">
        <v>23</v>
      </c>
      <c r="N37" s="9">
        <f>N14</f>
        <v>0</v>
      </c>
    </row>
    <row r="39" spans="1:16" x14ac:dyDescent="0.25">
      <c r="A39" t="s">
        <v>24</v>
      </c>
      <c r="C39" s="9">
        <f>(B36+B37)/2</f>
        <v>0</v>
      </c>
      <c r="G39" t="s">
        <v>24</v>
      </c>
      <c r="I39" s="9">
        <f>(H36+H37)/2</f>
        <v>0</v>
      </c>
      <c r="M39" t="s">
        <v>24</v>
      </c>
      <c r="O39" s="9">
        <f>(N36+N37)/2</f>
        <v>0</v>
      </c>
    </row>
    <row r="40" spans="1:16" x14ac:dyDescent="0.25">
      <c r="A40" t="s">
        <v>29</v>
      </c>
      <c r="C40" s="9">
        <f>C39*0.06</f>
        <v>0</v>
      </c>
      <c r="G40" t="s">
        <v>29</v>
      </c>
      <c r="I40" s="9">
        <f>I39*0.06</f>
        <v>0</v>
      </c>
      <c r="M40" t="s">
        <v>29</v>
      </c>
      <c r="O40" s="9">
        <f>O39*0.06</f>
        <v>0</v>
      </c>
    </row>
    <row r="41" spans="1:16" x14ac:dyDescent="0.25">
      <c r="A41" s="5" t="s">
        <v>30</v>
      </c>
      <c r="B41" s="5"/>
      <c r="C41" s="5"/>
      <c r="D41" s="4">
        <f>IFERROR(C40/B10,0)</f>
        <v>0</v>
      </c>
      <c r="G41" s="5" t="s">
        <v>30</v>
      </c>
      <c r="H41" s="5"/>
      <c r="I41" s="5"/>
      <c r="J41" s="4">
        <f>IFERROR(I40/H10,0)</f>
        <v>0</v>
      </c>
      <c r="M41" s="5" t="s">
        <v>30</v>
      </c>
      <c r="N41" s="5"/>
      <c r="O41" s="5"/>
      <c r="P41" s="4">
        <f>IFERROR(O40/N10,0)</f>
        <v>0</v>
      </c>
    </row>
    <row r="46" spans="1:16" ht="15.75" thickBot="1" x14ac:dyDescent="0.3">
      <c r="D46" s="43"/>
      <c r="J46" s="43"/>
      <c r="P46" s="43"/>
    </row>
    <row r="47" spans="1:16" ht="18.75" x14ac:dyDescent="0.3">
      <c r="A47" s="7" t="s">
        <v>65</v>
      </c>
      <c r="D47" s="15">
        <f>D16+D26+D29+D30+D31+D41+D21</f>
        <v>0</v>
      </c>
      <c r="G47" s="7" t="s">
        <v>65</v>
      </c>
      <c r="J47" s="15">
        <f>J16+J26+J29+J30+J31+J41+J21</f>
        <v>0</v>
      </c>
      <c r="M47" s="7" t="s">
        <v>65</v>
      </c>
      <c r="P47" s="15">
        <f>P16+P26+P29+P30+P31+P41+P21</f>
        <v>0</v>
      </c>
    </row>
    <row r="48" spans="1:16" x14ac:dyDescent="0.25">
      <c r="A48" s="5"/>
    </row>
    <row r="49" spans="1:16" ht="18.75" x14ac:dyDescent="0.3">
      <c r="A49" s="7" t="s">
        <v>66</v>
      </c>
      <c r="D49" s="46">
        <f>D47*0.2</f>
        <v>0</v>
      </c>
      <c r="G49" s="7" t="s">
        <v>66</v>
      </c>
      <c r="J49" s="15">
        <f>J47*0.2</f>
        <v>0</v>
      </c>
      <c r="M49" s="7" t="s">
        <v>66</v>
      </c>
      <c r="P49" s="15">
        <f>P47*0.2</f>
        <v>0</v>
      </c>
    </row>
    <row r="50" spans="1:16" x14ac:dyDescent="0.25">
      <c r="A50" s="5"/>
      <c r="B50" s="10"/>
      <c r="D50" s="1"/>
    </row>
    <row r="52" spans="1:16" ht="21" x14ac:dyDescent="0.35">
      <c r="A52" s="47" t="s">
        <v>68</v>
      </c>
      <c r="B52" s="48"/>
      <c r="C52" s="48"/>
      <c r="D52" s="49">
        <f>(D47+D49)*B18</f>
        <v>0</v>
      </c>
      <c r="G52" s="47" t="s">
        <v>68</v>
      </c>
      <c r="H52" s="48"/>
      <c r="I52" s="48"/>
      <c r="J52" s="49">
        <f>(J47+J49)*H18</f>
        <v>0</v>
      </c>
      <c r="K52" s="48"/>
      <c r="L52" s="48"/>
      <c r="M52" s="47" t="s">
        <v>68</v>
      </c>
      <c r="N52" s="48"/>
      <c r="O52" s="48"/>
      <c r="P52" s="49">
        <f>(P47+P49)*N18</f>
        <v>0</v>
      </c>
    </row>
    <row r="53" spans="1:16" x14ac:dyDescent="0.25">
      <c r="D53" s="1"/>
    </row>
    <row r="54" spans="1:16" x14ac:dyDescent="0.25">
      <c r="D54" s="44"/>
    </row>
    <row r="55" spans="1:16" ht="18.75" x14ac:dyDescent="0.3">
      <c r="A55" s="7" t="s">
        <v>126</v>
      </c>
      <c r="B55" s="7"/>
      <c r="C55" s="7"/>
      <c r="D55" s="15"/>
    </row>
    <row r="56" spans="1:16" x14ac:dyDescent="0.25">
      <c r="A56" t="s">
        <v>131</v>
      </c>
    </row>
    <row r="57" spans="1:16" x14ac:dyDescent="0.25">
      <c r="A57" t="s">
        <v>127</v>
      </c>
    </row>
    <row r="58" spans="1:16" x14ac:dyDescent="0.25">
      <c r="A58" t="s">
        <v>128</v>
      </c>
    </row>
    <row r="59" spans="1:16" x14ac:dyDescent="0.25">
      <c r="A59" t="s">
        <v>129</v>
      </c>
    </row>
    <row r="60" spans="1:16" x14ac:dyDescent="0.25">
      <c r="A60" t="s">
        <v>130</v>
      </c>
    </row>
    <row r="61" spans="1:16" x14ac:dyDescent="0.25">
      <c r="A61" t="s">
        <v>134</v>
      </c>
    </row>
    <row r="62" spans="1:16" x14ac:dyDescent="0.25">
      <c r="A62" t="s">
        <v>133</v>
      </c>
    </row>
    <row r="64" spans="1:16" x14ac:dyDescent="0.25">
      <c r="B64" s="9"/>
    </row>
    <row r="67" spans="2:4" x14ac:dyDescent="0.25">
      <c r="B67" s="9"/>
    </row>
    <row r="68" spans="2:4" x14ac:dyDescent="0.25">
      <c r="B68" s="9"/>
    </row>
    <row r="72" spans="2:4" x14ac:dyDescent="0.25">
      <c r="B72" s="9"/>
    </row>
    <row r="73" spans="2:4" x14ac:dyDescent="0.25">
      <c r="D73" s="1"/>
    </row>
    <row r="75" spans="2:4" x14ac:dyDescent="0.25">
      <c r="D75" s="1"/>
    </row>
    <row r="78" spans="2:4" x14ac:dyDescent="0.25">
      <c r="B78" s="9"/>
    </row>
    <row r="79" spans="2:4" x14ac:dyDescent="0.25">
      <c r="B79" s="9"/>
    </row>
    <row r="81" spans="3:4" x14ac:dyDescent="0.25">
      <c r="C81" s="9"/>
    </row>
    <row r="82" spans="3:4" x14ac:dyDescent="0.25">
      <c r="C82" s="1"/>
    </row>
    <row r="83" spans="3:4" x14ac:dyDescent="0.25">
      <c r="D83" s="1"/>
    </row>
    <row r="85" spans="3:4" x14ac:dyDescent="0.25">
      <c r="D85" s="1"/>
    </row>
    <row r="88" spans="3:4" x14ac:dyDescent="0.25">
      <c r="D88" s="1"/>
    </row>
    <row r="91" spans="3:4" x14ac:dyDescent="0.25">
      <c r="D91" s="1"/>
    </row>
    <row r="93" spans="3:4" x14ac:dyDescent="0.25">
      <c r="D93" s="1"/>
    </row>
    <row r="96" spans="3:4" x14ac:dyDescent="0.25">
      <c r="D96" s="1"/>
    </row>
    <row r="100" spans="2:4" x14ac:dyDescent="0.25">
      <c r="B100" s="10"/>
    </row>
    <row r="104" spans="2:4" x14ac:dyDescent="0.25">
      <c r="D104" s="1"/>
    </row>
  </sheetData>
  <pageMargins left="0.7" right="0.7" top="0.75" bottom="0.75" header="0.3" footer="0.3"/>
  <pageSetup paperSize="9" scale="72" orientation="portrait" horizontalDpi="4294967293" verticalDpi="0" r:id="rId1"/>
  <colBreaks count="2" manualBreakCount="2">
    <brk id="4" max="61" man="1"/>
    <brk id="12" max="61"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6"/>
  <sheetViews>
    <sheetView topLeftCell="A10" zoomScaleNormal="100" workbookViewId="0">
      <selection activeCell="H11" sqref="H11"/>
    </sheetView>
  </sheetViews>
  <sheetFormatPr defaultRowHeight="15" x14ac:dyDescent="0.25"/>
  <cols>
    <col min="1" max="1" width="25.5703125" customWidth="1"/>
    <col min="2" max="2" width="12.5703125" customWidth="1"/>
    <col min="3" max="4" width="15.5703125" customWidth="1"/>
    <col min="5" max="5" width="20.5703125" customWidth="1"/>
    <col min="6" max="6" width="12.5703125" customWidth="1"/>
    <col min="7" max="7" width="15.5703125" customWidth="1"/>
    <col min="8" max="8" width="20.5703125" customWidth="1"/>
    <col min="9" max="10" width="15.5703125" customWidth="1"/>
    <col min="11" max="11" width="12.5703125" customWidth="1"/>
  </cols>
  <sheetData>
    <row r="1" spans="1:10" ht="18.75" x14ac:dyDescent="0.3">
      <c r="A1" s="7" t="s">
        <v>57</v>
      </c>
    </row>
    <row r="2" spans="1:10" x14ac:dyDescent="0.25">
      <c r="B2" s="16"/>
      <c r="C2" s="16"/>
      <c r="D2" s="16"/>
      <c r="E2" s="16"/>
      <c r="F2" s="16"/>
      <c r="G2" s="16"/>
      <c r="H2" s="61" t="s">
        <v>42</v>
      </c>
    </row>
    <row r="3" spans="1:10" x14ac:dyDescent="0.25">
      <c r="A3" s="16" t="s">
        <v>31</v>
      </c>
      <c r="B3" s="38" t="s">
        <v>35</v>
      </c>
      <c r="C3" s="38" t="s">
        <v>49</v>
      </c>
      <c r="D3" s="38" t="s">
        <v>55</v>
      </c>
      <c r="E3" s="16" t="s">
        <v>51</v>
      </c>
      <c r="F3" s="16" t="s">
        <v>34</v>
      </c>
      <c r="G3" s="16" t="s">
        <v>36</v>
      </c>
      <c r="H3" s="62" t="s">
        <v>56</v>
      </c>
      <c r="I3" s="89" t="s">
        <v>179</v>
      </c>
      <c r="J3" s="89" t="s">
        <v>180</v>
      </c>
    </row>
    <row r="4" spans="1:10" x14ac:dyDescent="0.25">
      <c r="A4" t="s">
        <v>38</v>
      </c>
      <c r="B4" s="39">
        <v>0</v>
      </c>
      <c r="C4" s="40">
        <v>0</v>
      </c>
      <c r="D4" s="40">
        <v>0</v>
      </c>
      <c r="E4" s="72">
        <v>0.95</v>
      </c>
      <c r="F4" s="72">
        <v>0.95</v>
      </c>
      <c r="G4" s="73">
        <v>12.5</v>
      </c>
      <c r="H4" s="60">
        <v>0</v>
      </c>
      <c r="I4" s="92">
        <f>B4*1000*F4</f>
        <v>0</v>
      </c>
      <c r="J4" s="92">
        <f>B4*1000*F4*G4</f>
        <v>0</v>
      </c>
    </row>
    <row r="5" spans="1:10" x14ac:dyDescent="0.25">
      <c r="A5" t="s">
        <v>39</v>
      </c>
      <c r="B5" s="39">
        <v>0</v>
      </c>
      <c r="C5" s="40">
        <v>0</v>
      </c>
      <c r="D5" s="40">
        <v>0</v>
      </c>
      <c r="E5" s="72">
        <v>0.85</v>
      </c>
      <c r="F5" s="72">
        <v>0.88</v>
      </c>
      <c r="G5" s="73">
        <v>12</v>
      </c>
      <c r="H5" s="60">
        <v>0</v>
      </c>
      <c r="I5" s="92">
        <f t="shared" ref="I5:I6" si="0">B5*1000*F5</f>
        <v>0</v>
      </c>
      <c r="J5" s="92">
        <f t="shared" ref="J5:J6" si="1">B5*1000*F5*G5</f>
        <v>0</v>
      </c>
    </row>
    <row r="6" spans="1:10" x14ac:dyDescent="0.25">
      <c r="A6" t="s">
        <v>40</v>
      </c>
      <c r="B6" s="39">
        <v>0</v>
      </c>
      <c r="C6" s="40">
        <v>0</v>
      </c>
      <c r="D6" s="40">
        <v>0</v>
      </c>
      <c r="E6" s="72">
        <v>0.9</v>
      </c>
      <c r="F6" s="72">
        <v>0.9</v>
      </c>
      <c r="G6" s="73">
        <v>11</v>
      </c>
      <c r="H6" s="60">
        <v>0</v>
      </c>
      <c r="I6" s="92">
        <f t="shared" si="0"/>
        <v>0</v>
      </c>
      <c r="J6" s="92">
        <f t="shared" si="1"/>
        <v>0</v>
      </c>
    </row>
    <row r="7" spans="1:10" x14ac:dyDescent="0.25">
      <c r="A7" t="s">
        <v>41</v>
      </c>
      <c r="B7" s="39">
        <v>0</v>
      </c>
      <c r="C7" s="40">
        <v>0</v>
      </c>
      <c r="D7" s="40">
        <v>0</v>
      </c>
      <c r="E7" s="72">
        <v>0.8</v>
      </c>
      <c r="F7" s="72">
        <v>0.38</v>
      </c>
      <c r="G7" s="73">
        <v>9.5</v>
      </c>
      <c r="H7" s="60">
        <v>0</v>
      </c>
      <c r="I7" s="92">
        <f>B7*1000*F7</f>
        <v>0</v>
      </c>
      <c r="J7" s="92">
        <f>B7*1000*F7*G7</f>
        <v>0</v>
      </c>
    </row>
    <row r="8" spans="1:10" x14ac:dyDescent="0.25">
      <c r="A8" t="s">
        <v>76</v>
      </c>
      <c r="B8" s="39">
        <v>0</v>
      </c>
      <c r="C8" s="39">
        <v>0</v>
      </c>
      <c r="D8" s="39">
        <v>0</v>
      </c>
      <c r="E8" s="74">
        <v>0.8</v>
      </c>
      <c r="F8" s="74">
        <v>0.42</v>
      </c>
      <c r="G8" s="75">
        <v>10.5</v>
      </c>
      <c r="H8" s="60">
        <v>0</v>
      </c>
      <c r="I8" s="92">
        <f>B8*B13</f>
        <v>0</v>
      </c>
      <c r="J8" s="92">
        <f>B8*B13*G8</f>
        <v>0</v>
      </c>
    </row>
    <row r="9" spans="1:10" x14ac:dyDescent="0.25">
      <c r="A9" t="s">
        <v>75</v>
      </c>
      <c r="B9" s="39">
        <v>0</v>
      </c>
      <c r="C9" s="39">
        <v>0</v>
      </c>
      <c r="D9" s="39">
        <v>0</v>
      </c>
      <c r="E9" s="74">
        <v>0.8</v>
      </c>
      <c r="F9" s="74">
        <v>0.42</v>
      </c>
      <c r="G9" s="75">
        <v>10</v>
      </c>
      <c r="H9" s="60">
        <v>0</v>
      </c>
      <c r="I9" s="92">
        <f>B9*B13</f>
        <v>0</v>
      </c>
      <c r="J9" s="92">
        <f>B9*B13*G9</f>
        <v>0</v>
      </c>
    </row>
    <row r="10" spans="1:10" x14ac:dyDescent="0.25">
      <c r="A10" t="s">
        <v>74</v>
      </c>
      <c r="B10" s="39">
        <v>0</v>
      </c>
      <c r="C10" s="40">
        <v>0</v>
      </c>
      <c r="D10" s="40">
        <v>0</v>
      </c>
      <c r="E10" s="72">
        <v>0.8</v>
      </c>
      <c r="F10" s="72">
        <v>0.42</v>
      </c>
      <c r="G10" s="73">
        <v>9.5</v>
      </c>
      <c r="H10" s="60">
        <v>0</v>
      </c>
      <c r="I10" s="92">
        <f>B10*B13</f>
        <v>0</v>
      </c>
      <c r="J10" s="92">
        <f>B10*B13*G10</f>
        <v>0</v>
      </c>
    </row>
    <row r="11" spans="1:10" ht="15.75" thickBot="1" x14ac:dyDescent="0.3">
      <c r="A11" t="s">
        <v>50</v>
      </c>
      <c r="B11" s="39">
        <v>0</v>
      </c>
      <c r="C11" s="40">
        <v>0</v>
      </c>
      <c r="D11" s="40">
        <v>0</v>
      </c>
      <c r="E11" s="72">
        <v>0.8</v>
      </c>
      <c r="F11" s="72">
        <v>0.85</v>
      </c>
      <c r="G11" s="73">
        <v>9</v>
      </c>
      <c r="H11" s="60">
        <v>0</v>
      </c>
      <c r="I11" s="107">
        <f>B11*B13</f>
        <v>0</v>
      </c>
      <c r="J11" s="107">
        <f>B11*B13*G11</f>
        <v>0</v>
      </c>
    </row>
    <row r="12" spans="1:10" x14ac:dyDescent="0.25">
      <c r="I12" s="91">
        <f>I4+I5+I6+I7+I8+I9+I10+I11</f>
        <v>0</v>
      </c>
      <c r="J12" s="92">
        <f>J4+J5+J6+J7+J8+J9+J10+J11</f>
        <v>0</v>
      </c>
    </row>
    <row r="13" spans="1:10" x14ac:dyDescent="0.25">
      <c r="A13" s="6" t="s">
        <v>58</v>
      </c>
      <c r="B13" s="30">
        <v>230</v>
      </c>
      <c r="C13" s="6" t="s">
        <v>59</v>
      </c>
      <c r="D13" s="31"/>
    </row>
    <row r="14" spans="1:10" x14ac:dyDescent="0.25">
      <c r="A14" s="5"/>
    </row>
    <row r="16" spans="1:10" ht="15.75" thickBot="1" x14ac:dyDescent="0.3"/>
    <row r="17" spans="1:8" x14ac:dyDescent="0.25">
      <c r="A17" s="26" t="s">
        <v>52</v>
      </c>
      <c r="B17" s="21"/>
      <c r="E17" s="18"/>
      <c r="F17" s="19" t="s">
        <v>46</v>
      </c>
      <c r="G17" s="20" t="s">
        <v>61</v>
      </c>
      <c r="H17" s="21"/>
    </row>
    <row r="18" spans="1:8" x14ac:dyDescent="0.25">
      <c r="A18" s="22" t="s">
        <v>37</v>
      </c>
      <c r="B18" s="28">
        <f>(B4*C4)+(B5*C5)+(B6*C6)+(B7*C7)+(B8*C8)+(B9*C9)+(B10*C10)+(B11*C11)</f>
        <v>0</v>
      </c>
      <c r="E18" s="22"/>
      <c r="F18" s="23" t="s">
        <v>48</v>
      </c>
      <c r="G18" s="23" t="s">
        <v>53</v>
      </c>
      <c r="H18" s="24" t="s">
        <v>54</v>
      </c>
    </row>
    <row r="19" spans="1:8" x14ac:dyDescent="0.25">
      <c r="A19" s="22" t="s">
        <v>33</v>
      </c>
      <c r="B19" s="28">
        <f>(B4*D4)+(B5*D5)+(B6*D6)+(B7*D7)+(B8*D8)+(B9*D9)+(B10*D10)+(B11*D11)</f>
        <v>0</v>
      </c>
      <c r="E19" s="22" t="s">
        <v>38</v>
      </c>
      <c r="F19" s="36">
        <f>(B4*C4)+(B4*D4)+H4</f>
        <v>0</v>
      </c>
      <c r="G19" s="33">
        <f>IFERROR(F19/(B4*1000*E4*F4)*100,0)</f>
        <v>0</v>
      </c>
      <c r="H19" s="34">
        <f>IFERROR((G19/G4),0)</f>
        <v>0</v>
      </c>
    </row>
    <row r="20" spans="1:8" ht="15.75" thickBot="1" x14ac:dyDescent="0.3">
      <c r="A20" s="22" t="s">
        <v>43</v>
      </c>
      <c r="B20" s="32">
        <f>H4+H5+H6+H7+H8+H9+H10+H11</f>
        <v>0</v>
      </c>
      <c r="E20" s="22" t="s">
        <v>39</v>
      </c>
      <c r="F20" s="36">
        <f>(B5*C5)+(B5*D5)+H5</f>
        <v>0</v>
      </c>
      <c r="G20" s="33">
        <f t="shared" ref="G20:G26" si="2">IFERROR(F20/(B5*1000*E5*F5)*100,0)</f>
        <v>0</v>
      </c>
      <c r="H20" s="34">
        <f t="shared" ref="H20:H26" si="3">IFERROR((G20/G5),0)</f>
        <v>0</v>
      </c>
    </row>
    <row r="21" spans="1:8" ht="15.75" thickBot="1" x14ac:dyDescent="0.3">
      <c r="A21" s="27" t="s">
        <v>44</v>
      </c>
      <c r="B21" s="29">
        <f>B18+B19+B20</f>
        <v>0</v>
      </c>
      <c r="E21" s="22" t="s">
        <v>40</v>
      </c>
      <c r="F21" s="36">
        <f>(B6*C6)+(B6*D6)+H6</f>
        <v>0</v>
      </c>
      <c r="G21" s="33">
        <f t="shared" si="2"/>
        <v>0</v>
      </c>
      <c r="H21" s="34">
        <f t="shared" si="3"/>
        <v>0</v>
      </c>
    </row>
    <row r="22" spans="1:8" x14ac:dyDescent="0.25">
      <c r="E22" s="22" t="s">
        <v>41</v>
      </c>
      <c r="F22" s="36">
        <f>(B7*C7)+(B7*D7)+H7</f>
        <v>0</v>
      </c>
      <c r="G22" s="33">
        <f t="shared" si="2"/>
        <v>0</v>
      </c>
      <c r="H22" s="34">
        <f t="shared" si="3"/>
        <v>0</v>
      </c>
    </row>
    <row r="23" spans="1:8" x14ac:dyDescent="0.25">
      <c r="E23" s="22" t="s">
        <v>77</v>
      </c>
      <c r="F23" s="36">
        <f t="shared" ref="F23:F24" si="4">(B8*C8)+(B8*D8)+H8</f>
        <v>0</v>
      </c>
      <c r="G23" s="33">
        <f t="shared" si="2"/>
        <v>0</v>
      </c>
      <c r="H23" s="34">
        <f t="shared" si="3"/>
        <v>0</v>
      </c>
    </row>
    <row r="24" spans="1:8" x14ac:dyDescent="0.25">
      <c r="E24" s="22" t="s">
        <v>78</v>
      </c>
      <c r="F24" s="36">
        <f t="shared" si="4"/>
        <v>0</v>
      </c>
      <c r="G24" s="33">
        <f t="shared" si="2"/>
        <v>0</v>
      </c>
      <c r="H24" s="34">
        <f t="shared" si="3"/>
        <v>0</v>
      </c>
    </row>
    <row r="25" spans="1:8" x14ac:dyDescent="0.25">
      <c r="E25" s="22" t="s">
        <v>79</v>
      </c>
      <c r="F25" s="36">
        <f>(B10*C10)+(B10*D10)+H10</f>
        <v>0</v>
      </c>
      <c r="G25" s="33">
        <f t="shared" si="2"/>
        <v>0</v>
      </c>
      <c r="H25" s="34">
        <f t="shared" si="3"/>
        <v>0</v>
      </c>
    </row>
    <row r="26" spans="1:8" ht="15.75" thickBot="1" x14ac:dyDescent="0.3">
      <c r="E26" s="25" t="s">
        <v>60</v>
      </c>
      <c r="F26" s="37">
        <f>(B11*C11)+(B11*D11)+H11</f>
        <v>0</v>
      </c>
      <c r="G26" s="113">
        <f t="shared" si="2"/>
        <v>0</v>
      </c>
      <c r="H26" s="35">
        <f t="shared" si="3"/>
        <v>0</v>
      </c>
    </row>
  </sheetData>
  <pageMargins left="0.7" right="0.7" top="0.75" bottom="0.75" header="0.3" footer="0.3"/>
  <pageSetup paperSize="9" scale="51"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8"/>
  <sheetViews>
    <sheetView topLeftCell="A37" zoomScaleNormal="100" workbookViewId="0">
      <selection activeCell="C57" sqref="C57"/>
    </sheetView>
  </sheetViews>
  <sheetFormatPr defaultRowHeight="15" x14ac:dyDescent="0.25"/>
  <cols>
    <col min="1" max="1" width="40.5703125" customWidth="1"/>
    <col min="2" max="8" width="15.5703125" customWidth="1"/>
  </cols>
  <sheetData>
    <row r="1" spans="1:7" ht="18.75" x14ac:dyDescent="0.3">
      <c r="A1" s="7" t="s">
        <v>103</v>
      </c>
    </row>
    <row r="2" spans="1:7" ht="18.75" x14ac:dyDescent="0.3">
      <c r="A2" s="7" t="s">
        <v>119</v>
      </c>
      <c r="B2" s="5" t="s">
        <v>183</v>
      </c>
      <c r="C2" s="30">
        <v>230</v>
      </c>
      <c r="F2" s="91" t="s">
        <v>221</v>
      </c>
      <c r="G2" s="91"/>
    </row>
    <row r="3" spans="1:7" x14ac:dyDescent="0.25">
      <c r="B3" s="38" t="s">
        <v>47</v>
      </c>
      <c r="C3" s="38" t="s">
        <v>101</v>
      </c>
      <c r="E3" t="s">
        <v>185</v>
      </c>
      <c r="F3" s="92">
        <f>(B5*C2)+(C5*C2)</f>
        <v>0</v>
      </c>
    </row>
    <row r="4" spans="1:7" x14ac:dyDescent="0.25">
      <c r="A4" t="s">
        <v>102</v>
      </c>
      <c r="B4" s="63">
        <v>0</v>
      </c>
      <c r="C4" s="63">
        <v>0</v>
      </c>
      <c r="E4" t="s">
        <v>184</v>
      </c>
      <c r="F4" s="92">
        <f>(B5*C2*B8)+(C5*C2*C8)</f>
        <v>0</v>
      </c>
    </row>
    <row r="5" spans="1:7" x14ac:dyDescent="0.25">
      <c r="A5" t="s">
        <v>182</v>
      </c>
      <c r="B5" s="67">
        <v>0</v>
      </c>
      <c r="C5" s="67">
        <v>0</v>
      </c>
    </row>
    <row r="6" spans="1:7" x14ac:dyDescent="0.25">
      <c r="A6" t="s">
        <v>112</v>
      </c>
      <c r="B6" s="69">
        <v>0</v>
      </c>
      <c r="C6" s="69">
        <v>0.15</v>
      </c>
      <c r="E6" s="97"/>
      <c r="F6" s="100" t="s">
        <v>47</v>
      </c>
      <c r="G6" s="100" t="s">
        <v>101</v>
      </c>
    </row>
    <row r="7" spans="1:7" x14ac:dyDescent="0.25">
      <c r="A7" t="s">
        <v>51</v>
      </c>
      <c r="B7" s="69">
        <v>0.85</v>
      </c>
      <c r="C7" s="69">
        <v>0.85</v>
      </c>
      <c r="E7" s="97" t="s">
        <v>215</v>
      </c>
      <c r="F7" s="105">
        <f>IFERROR(((B5*B9*100)+(B10*B5*100))/(B5*C2*B7),0)</f>
        <v>0</v>
      </c>
      <c r="G7" s="105">
        <f>IFERROR(((C5*C9*100)+(C10*C5*100))/((C5*C2*C7)-(C5*C2*C6)),0)</f>
        <v>0</v>
      </c>
    </row>
    <row r="8" spans="1:7" x14ac:dyDescent="0.25">
      <c r="A8" t="s">
        <v>106</v>
      </c>
      <c r="B8" s="70">
        <v>9</v>
      </c>
      <c r="C8" s="70">
        <v>11</v>
      </c>
      <c r="E8" s="97" t="s">
        <v>216</v>
      </c>
      <c r="F8" s="105">
        <f>IFERROR(F7/B8,0)</f>
        <v>0</v>
      </c>
      <c r="G8" s="105">
        <f>IFERROR(G7/C8,0)</f>
        <v>0</v>
      </c>
    </row>
    <row r="9" spans="1:7" x14ac:dyDescent="0.25">
      <c r="A9" t="s">
        <v>104</v>
      </c>
      <c r="B9" s="68">
        <v>0</v>
      </c>
      <c r="C9" s="68">
        <v>0</v>
      </c>
    </row>
    <row r="10" spans="1:7" x14ac:dyDescent="0.25">
      <c r="A10" t="s">
        <v>105</v>
      </c>
      <c r="B10" s="40">
        <v>0</v>
      </c>
      <c r="C10" s="40">
        <v>0</v>
      </c>
    </row>
    <row r="11" spans="1:7" x14ac:dyDescent="0.25">
      <c r="A11" s="5" t="s">
        <v>223</v>
      </c>
      <c r="B11" s="77">
        <f>((B10*B5)+(B9*B5))</f>
        <v>0</v>
      </c>
      <c r="C11" s="77">
        <f>(C10*C5)+(C9*C5)</f>
        <v>0</v>
      </c>
    </row>
    <row r="14" spans="1:7" ht="18.75" x14ac:dyDescent="0.3">
      <c r="A14" s="7" t="s">
        <v>107</v>
      </c>
      <c r="B14" s="38" t="s">
        <v>32</v>
      </c>
      <c r="C14" s="64"/>
      <c r="E14" t="s">
        <v>186</v>
      </c>
      <c r="F14" s="95">
        <f>B16*1000*B20</f>
        <v>0</v>
      </c>
    </row>
    <row r="15" spans="1:7" x14ac:dyDescent="0.25">
      <c r="A15" t="s">
        <v>102</v>
      </c>
      <c r="B15" s="63">
        <v>0</v>
      </c>
      <c r="C15" s="64"/>
      <c r="E15" t="s">
        <v>184</v>
      </c>
      <c r="F15" s="95">
        <f>F14*B19</f>
        <v>0</v>
      </c>
    </row>
    <row r="16" spans="1:7" x14ac:dyDescent="0.25">
      <c r="A16" t="s">
        <v>188</v>
      </c>
      <c r="B16" s="109">
        <v>0</v>
      </c>
      <c r="C16" s="64"/>
    </row>
    <row r="17" spans="1:7" x14ac:dyDescent="0.25">
      <c r="A17" t="s">
        <v>108</v>
      </c>
      <c r="B17" s="69">
        <v>0.15</v>
      </c>
      <c r="C17" s="64"/>
    </row>
    <row r="18" spans="1:7" x14ac:dyDescent="0.25">
      <c r="A18" t="s">
        <v>51</v>
      </c>
      <c r="B18" s="69">
        <v>0.85</v>
      </c>
      <c r="C18" s="64"/>
      <c r="E18" s="97" t="s">
        <v>215</v>
      </c>
      <c r="F18" s="105">
        <f>IFERROR(((B16*B21*100)+B22+(B23*B16*100))/((B16*1000*B20*B18)-(B16*1000*B17)),0)</f>
        <v>0</v>
      </c>
    </row>
    <row r="19" spans="1:7" x14ac:dyDescent="0.25">
      <c r="A19" t="s">
        <v>106</v>
      </c>
      <c r="B19" s="70">
        <v>9.5</v>
      </c>
      <c r="C19" s="64"/>
      <c r="E19" s="97" t="s">
        <v>218</v>
      </c>
      <c r="F19" s="105">
        <f>IFERROR(F18/B19,0)</f>
        <v>0</v>
      </c>
    </row>
    <row r="20" spans="1:7" x14ac:dyDescent="0.25">
      <c r="A20" t="s">
        <v>187</v>
      </c>
      <c r="B20" s="69">
        <v>0.38</v>
      </c>
    </row>
    <row r="21" spans="1:7" x14ac:dyDescent="0.25">
      <c r="A21" t="s">
        <v>109</v>
      </c>
      <c r="B21" s="68">
        <v>0</v>
      </c>
      <c r="C21" s="64"/>
    </row>
    <row r="22" spans="1:7" x14ac:dyDescent="0.25">
      <c r="A22" t="s">
        <v>110</v>
      </c>
      <c r="B22" s="40">
        <v>0</v>
      </c>
      <c r="C22" s="64"/>
    </row>
    <row r="23" spans="1:7" x14ac:dyDescent="0.25">
      <c r="A23" t="s">
        <v>111</v>
      </c>
      <c r="B23" s="40">
        <v>0</v>
      </c>
      <c r="C23" s="54"/>
    </row>
    <row r="24" spans="1:7" x14ac:dyDescent="0.25">
      <c r="A24" s="5" t="s">
        <v>223</v>
      </c>
      <c r="B24" s="77">
        <f>(B23*B16)+(B21*B16)+B22</f>
        <v>0</v>
      </c>
    </row>
    <row r="26" spans="1:7" ht="18.75" x14ac:dyDescent="0.3">
      <c r="A26" s="7" t="s">
        <v>113</v>
      </c>
      <c r="B26" s="38" t="s">
        <v>118</v>
      </c>
      <c r="E26" t="s">
        <v>186</v>
      </c>
      <c r="F26" s="91">
        <f>(B28*1000*B33)+(B29*230)</f>
        <v>0</v>
      </c>
    </row>
    <row r="27" spans="1:7" x14ac:dyDescent="0.25">
      <c r="A27" t="s">
        <v>102</v>
      </c>
      <c r="B27" s="63">
        <v>0</v>
      </c>
      <c r="E27" t="s">
        <v>184</v>
      </c>
      <c r="F27" s="91">
        <f>F26*B32</f>
        <v>0</v>
      </c>
    </row>
    <row r="28" spans="1:7" x14ac:dyDescent="0.25">
      <c r="A28" t="s">
        <v>189</v>
      </c>
      <c r="B28" s="67">
        <v>0</v>
      </c>
    </row>
    <row r="29" spans="1:7" x14ac:dyDescent="0.25">
      <c r="A29" t="s">
        <v>124</v>
      </c>
      <c r="B29" s="67">
        <v>0</v>
      </c>
    </row>
    <row r="30" spans="1:7" x14ac:dyDescent="0.25">
      <c r="A30" t="s">
        <v>108</v>
      </c>
      <c r="B30" s="69">
        <v>0.15</v>
      </c>
      <c r="F30" s="100" t="s">
        <v>101</v>
      </c>
      <c r="G30" s="100" t="s">
        <v>219</v>
      </c>
    </row>
    <row r="31" spans="1:7" x14ac:dyDescent="0.25">
      <c r="A31" t="s">
        <v>51</v>
      </c>
      <c r="B31" s="69">
        <v>0.85</v>
      </c>
      <c r="E31" s="97" t="s">
        <v>215</v>
      </c>
      <c r="F31" s="105">
        <f>IFERROR((((B34+B35+B36+B37+B38)*B27)+(B29*B40)*100)/((B29*230*B31)-(B29*230*B30)),0)</f>
        <v>0</v>
      </c>
      <c r="G31" s="105">
        <f>IFERROR((((B34+B35+B36+B37+B38)*B27)+B41+(B39*B28)+(B42*B28))*100/((B28*1000*B31)-(B28*1000*B30)),0)</f>
        <v>0</v>
      </c>
    </row>
    <row r="32" spans="1:7" x14ac:dyDescent="0.25">
      <c r="A32" t="s">
        <v>106</v>
      </c>
      <c r="B32" s="71">
        <v>9.5</v>
      </c>
      <c r="E32" s="97" t="s">
        <v>216</v>
      </c>
      <c r="F32" s="105">
        <f>IFERROR(F31/B32,0)</f>
        <v>0</v>
      </c>
      <c r="G32" s="105">
        <f>IFERROR(G31/B32,0)</f>
        <v>0</v>
      </c>
    </row>
    <row r="33" spans="1:6" x14ac:dyDescent="0.25">
      <c r="A33" t="s">
        <v>187</v>
      </c>
      <c r="B33" s="69">
        <v>0.42</v>
      </c>
    </row>
    <row r="34" spans="1:6" x14ac:dyDescent="0.25">
      <c r="A34" t="s">
        <v>114</v>
      </c>
      <c r="B34" s="68">
        <v>0</v>
      </c>
    </row>
    <row r="35" spans="1:6" x14ac:dyDescent="0.25">
      <c r="A35" t="s">
        <v>120</v>
      </c>
      <c r="B35" s="68">
        <v>0</v>
      </c>
    </row>
    <row r="36" spans="1:6" x14ac:dyDescent="0.25">
      <c r="A36" t="s">
        <v>83</v>
      </c>
      <c r="B36" s="68">
        <v>0</v>
      </c>
    </row>
    <row r="37" spans="1:6" x14ac:dyDescent="0.25">
      <c r="A37" t="s">
        <v>115</v>
      </c>
      <c r="B37" s="68">
        <v>0</v>
      </c>
    </row>
    <row r="38" spans="1:6" x14ac:dyDescent="0.25">
      <c r="A38" t="s">
        <v>116</v>
      </c>
      <c r="B38" s="68">
        <v>0</v>
      </c>
    </row>
    <row r="39" spans="1:6" x14ac:dyDescent="0.25">
      <c r="A39" t="s">
        <v>117</v>
      </c>
      <c r="B39" s="68">
        <v>0</v>
      </c>
    </row>
    <row r="40" spans="1:6" x14ac:dyDescent="0.25">
      <c r="A40" t="s">
        <v>135</v>
      </c>
      <c r="B40" s="68">
        <v>0</v>
      </c>
    </row>
    <row r="41" spans="1:6" x14ac:dyDescent="0.25">
      <c r="A41" t="s">
        <v>110</v>
      </c>
      <c r="B41" s="40">
        <v>0</v>
      </c>
    </row>
    <row r="42" spans="1:6" x14ac:dyDescent="0.25">
      <c r="A42" t="s">
        <v>121</v>
      </c>
      <c r="B42" s="40">
        <v>0</v>
      </c>
    </row>
    <row r="43" spans="1:6" x14ac:dyDescent="0.25">
      <c r="A43" s="5" t="s">
        <v>224</v>
      </c>
      <c r="B43" s="85">
        <f>((B34+B35+B36+B37+B38)*B27)+(B40*B29)+(B42*B29)</f>
        <v>0</v>
      </c>
    </row>
    <row r="44" spans="1:6" x14ac:dyDescent="0.25">
      <c r="A44" s="5" t="s">
        <v>225</v>
      </c>
      <c r="B44" s="85">
        <f>((B34+B35+B36+B37+B38)*B27)+(B39*B28)+B41+(B42*B28)</f>
        <v>0</v>
      </c>
    </row>
    <row r="47" spans="1:6" x14ac:dyDescent="0.25">
      <c r="B47" s="5" t="s">
        <v>190</v>
      </c>
      <c r="C47" s="93">
        <v>230</v>
      </c>
      <c r="E47" t="s">
        <v>186</v>
      </c>
      <c r="F47" s="91">
        <f>B50*230</f>
        <v>0</v>
      </c>
    </row>
    <row r="48" spans="1:6" ht="18.75" x14ac:dyDescent="0.3">
      <c r="A48" s="7" t="s">
        <v>122</v>
      </c>
      <c r="B48" s="38" t="s">
        <v>122</v>
      </c>
      <c r="E48" t="s">
        <v>184</v>
      </c>
      <c r="F48" s="91">
        <f>F47*B53</f>
        <v>0</v>
      </c>
    </row>
    <row r="49" spans="1:6" x14ac:dyDescent="0.25">
      <c r="A49" t="s">
        <v>102</v>
      </c>
      <c r="B49" s="63">
        <v>0</v>
      </c>
    </row>
    <row r="50" spans="1:6" x14ac:dyDescent="0.25">
      <c r="A50" t="s">
        <v>124</v>
      </c>
      <c r="B50" s="67">
        <v>0</v>
      </c>
    </row>
    <row r="51" spans="1:6" x14ac:dyDescent="0.25">
      <c r="A51" t="s">
        <v>108</v>
      </c>
      <c r="B51" s="69">
        <v>0.15</v>
      </c>
      <c r="E51" s="97" t="s">
        <v>215</v>
      </c>
      <c r="F51" s="105">
        <f>IFERROR(((B56*B49)+(B57*B50)+(B50*B55))*100/((B50*C47*B52)-(B50*C47*B51)),0)</f>
        <v>0</v>
      </c>
    </row>
    <row r="52" spans="1:6" x14ac:dyDescent="0.25">
      <c r="A52" t="s">
        <v>51</v>
      </c>
      <c r="B52" s="69">
        <v>0.85</v>
      </c>
      <c r="E52" s="97" t="s">
        <v>216</v>
      </c>
      <c r="F52" s="105">
        <f>IFERROR(F51/B53,0)</f>
        <v>0</v>
      </c>
    </row>
    <row r="53" spans="1:6" x14ac:dyDescent="0.25">
      <c r="A53" t="s">
        <v>106</v>
      </c>
      <c r="B53" s="70">
        <v>11.5</v>
      </c>
    </row>
    <row r="54" spans="1:6" x14ac:dyDescent="0.25">
      <c r="A54" t="s">
        <v>34</v>
      </c>
      <c r="B54" s="69">
        <v>0.4</v>
      </c>
    </row>
    <row r="55" spans="1:6" x14ac:dyDescent="0.25">
      <c r="A55" t="s">
        <v>125</v>
      </c>
      <c r="B55" s="68">
        <v>0</v>
      </c>
    </row>
    <row r="56" spans="1:6" x14ac:dyDescent="0.25">
      <c r="A56" t="s">
        <v>220</v>
      </c>
      <c r="B56" s="101">
        <v>0</v>
      </c>
    </row>
    <row r="57" spans="1:6" x14ac:dyDescent="0.25">
      <c r="A57" t="s">
        <v>123</v>
      </c>
      <c r="B57" s="40">
        <v>0</v>
      </c>
    </row>
    <row r="58" spans="1:6" x14ac:dyDescent="0.25">
      <c r="A58" s="5" t="s">
        <v>228</v>
      </c>
      <c r="B58" s="77">
        <f>(B57*B50)+(B56*B49)+(B55*B50)</f>
        <v>0</v>
      </c>
    </row>
  </sheetData>
  <pageMargins left="0.7" right="0.7" top="0.75" bottom="0.75" header="0.3" footer="0.3"/>
  <pageSetup paperSize="9" scale="65"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2"/>
  <sheetViews>
    <sheetView view="pageBreakPreview" zoomScale="60" zoomScaleNormal="100" workbookViewId="0">
      <selection activeCell="H19" sqref="H19"/>
    </sheetView>
  </sheetViews>
  <sheetFormatPr defaultRowHeight="15" x14ac:dyDescent="0.25"/>
  <cols>
    <col min="1" max="1" width="40.5703125" customWidth="1"/>
    <col min="2" max="4" width="25.5703125" customWidth="1"/>
    <col min="5" max="5" width="15.5703125" customWidth="1"/>
    <col min="6" max="6" width="20.5703125" customWidth="1"/>
    <col min="7" max="8" width="15.5703125" customWidth="1"/>
  </cols>
  <sheetData>
    <row r="1" spans="1:6" ht="18.75" x14ac:dyDescent="0.3">
      <c r="A1" s="7" t="s">
        <v>141</v>
      </c>
    </row>
    <row r="2" spans="1:6" x14ac:dyDescent="0.25">
      <c r="F2" s="16" t="s">
        <v>144</v>
      </c>
    </row>
    <row r="3" spans="1:6" x14ac:dyDescent="0.25">
      <c r="A3" s="5" t="s">
        <v>136</v>
      </c>
      <c r="B3" s="16" t="s">
        <v>138</v>
      </c>
      <c r="C3" s="16" t="s">
        <v>139</v>
      </c>
      <c r="D3" s="16" t="s">
        <v>142</v>
      </c>
      <c r="F3" s="16" t="s">
        <v>146</v>
      </c>
    </row>
    <row r="4" spans="1:6" x14ac:dyDescent="0.25">
      <c r="A4" s="76"/>
      <c r="B4" s="65"/>
      <c r="C4" s="78"/>
      <c r="D4" s="80"/>
      <c r="F4" s="65"/>
    </row>
    <row r="5" spans="1:6" x14ac:dyDescent="0.25">
      <c r="A5" s="76"/>
      <c r="B5" s="65"/>
      <c r="C5" s="78"/>
      <c r="D5" s="80"/>
      <c r="F5" s="65"/>
    </row>
    <row r="6" spans="1:6" x14ac:dyDescent="0.25">
      <c r="A6" s="76"/>
      <c r="B6" s="65"/>
      <c r="C6" s="78"/>
      <c r="D6" s="80"/>
      <c r="F6" s="65"/>
    </row>
    <row r="7" spans="1:6" x14ac:dyDescent="0.25">
      <c r="A7" s="76"/>
      <c r="B7" s="65"/>
      <c r="C7" s="78"/>
      <c r="D7" s="80"/>
      <c r="F7" s="65"/>
    </row>
    <row r="8" spans="1:6" x14ac:dyDescent="0.25">
      <c r="A8" s="76"/>
      <c r="B8" s="65"/>
      <c r="C8" s="78"/>
      <c r="D8" s="80"/>
      <c r="F8" s="65"/>
    </row>
    <row r="9" spans="1:6" x14ac:dyDescent="0.25">
      <c r="A9" s="76"/>
      <c r="B9" s="65"/>
      <c r="C9" s="78"/>
      <c r="D9" s="80"/>
      <c r="F9" s="65"/>
    </row>
    <row r="10" spans="1:6" x14ac:dyDescent="0.25">
      <c r="A10" s="76"/>
      <c r="B10" s="65"/>
      <c r="C10" s="78"/>
      <c r="D10" s="80"/>
      <c r="F10" s="65"/>
    </row>
    <row r="11" spans="1:6" x14ac:dyDescent="0.25">
      <c r="A11" s="5" t="s">
        <v>137</v>
      </c>
      <c r="B11" s="66"/>
      <c r="C11" s="79"/>
      <c r="D11" s="51"/>
      <c r="F11" s="66"/>
    </row>
    <row r="12" spans="1:6" x14ac:dyDescent="0.25">
      <c r="A12" s="76"/>
      <c r="B12" s="65"/>
      <c r="C12" s="78"/>
      <c r="D12" s="80"/>
      <c r="F12" s="65"/>
    </row>
    <row r="13" spans="1:6" x14ac:dyDescent="0.25">
      <c r="A13" s="76"/>
      <c r="B13" s="65"/>
      <c r="C13" s="78"/>
      <c r="D13" s="80"/>
      <c r="F13" s="65"/>
    </row>
    <row r="14" spans="1:6" x14ac:dyDescent="0.25">
      <c r="A14" s="76"/>
      <c r="B14" s="65"/>
      <c r="C14" s="78"/>
      <c r="D14" s="80"/>
      <c r="F14" s="65"/>
    </row>
    <row r="15" spans="1:6" x14ac:dyDescent="0.25">
      <c r="A15" s="76"/>
      <c r="B15" s="65"/>
      <c r="C15" s="78"/>
      <c r="D15" s="80"/>
      <c r="F15" s="65"/>
    </row>
    <row r="16" spans="1:6" x14ac:dyDescent="0.25">
      <c r="A16" s="76"/>
      <c r="B16" s="65"/>
      <c r="C16" s="78"/>
      <c r="D16" s="80"/>
      <c r="F16" s="65"/>
    </row>
    <row r="17" spans="1:6" x14ac:dyDescent="0.25">
      <c r="A17" s="76"/>
      <c r="B17" s="65"/>
      <c r="C17" s="78"/>
      <c r="D17" s="80"/>
      <c r="F17" s="65"/>
    </row>
    <row r="18" spans="1:6" x14ac:dyDescent="0.25">
      <c r="B18" s="66"/>
      <c r="C18" s="79"/>
      <c r="D18" s="51"/>
      <c r="F18" s="66"/>
    </row>
    <row r="19" spans="1:6" x14ac:dyDescent="0.25">
      <c r="A19" s="5" t="s">
        <v>143</v>
      </c>
      <c r="B19" s="66"/>
      <c r="C19" s="79"/>
      <c r="D19" s="51"/>
      <c r="F19" s="66"/>
    </row>
    <row r="20" spans="1:6" x14ac:dyDescent="0.25">
      <c r="A20" s="76"/>
      <c r="B20" s="65"/>
      <c r="C20" s="78"/>
      <c r="D20" s="80"/>
      <c r="F20" s="110"/>
    </row>
    <row r="21" spans="1:6" x14ac:dyDescent="0.25">
      <c r="A21" s="76"/>
      <c r="B21" s="65"/>
      <c r="C21" s="78"/>
      <c r="D21" s="80"/>
      <c r="F21" s="110"/>
    </row>
    <row r="22" spans="1:6" x14ac:dyDescent="0.25">
      <c r="A22" s="76"/>
      <c r="B22" s="65"/>
      <c r="C22" s="78"/>
      <c r="D22" s="80"/>
      <c r="F22" s="110"/>
    </row>
    <row r="23" spans="1:6" x14ac:dyDescent="0.25">
      <c r="A23" s="76"/>
      <c r="B23" s="65"/>
      <c r="C23" s="78"/>
      <c r="D23" s="80"/>
      <c r="F23" s="110"/>
    </row>
    <row r="24" spans="1:6" x14ac:dyDescent="0.25">
      <c r="A24" s="76"/>
      <c r="B24" s="65"/>
      <c r="C24" s="78"/>
      <c r="D24" s="80"/>
      <c r="F24" s="110"/>
    </row>
    <row r="25" spans="1:6" x14ac:dyDescent="0.25">
      <c r="A25" s="76"/>
      <c r="B25" s="65"/>
      <c r="C25" s="78"/>
      <c r="D25" s="80"/>
      <c r="F25" s="110"/>
    </row>
    <row r="26" spans="1:6" x14ac:dyDescent="0.25">
      <c r="A26" s="76"/>
      <c r="B26" s="65"/>
      <c r="C26" s="78"/>
      <c r="D26" s="80"/>
      <c r="F26" s="110"/>
    </row>
    <row r="27" spans="1:6" x14ac:dyDescent="0.25">
      <c r="A27" s="76"/>
      <c r="B27" s="65"/>
      <c r="C27" s="78"/>
      <c r="D27" s="80"/>
      <c r="F27" s="110"/>
    </row>
    <row r="28" spans="1:6" x14ac:dyDescent="0.25">
      <c r="A28" s="76"/>
      <c r="B28" s="65"/>
      <c r="C28" s="78"/>
      <c r="D28" s="80"/>
      <c r="F28" s="110"/>
    </row>
    <row r="31" spans="1:6" x14ac:dyDescent="0.25">
      <c r="A31" s="5" t="s">
        <v>140</v>
      </c>
      <c r="B31" s="77">
        <f>(B4*C4*D4)+(B5*C5*D5)+(B6*C6*D6)+(B7*C7*D7)+(B8*C8*D8)+(B9*C9*D9)+(B10*C10*D10)+(B12*C12*D12)+(B13*C13*D13)+(B14*C14*D14)+(B15*C15*D15)+(B16*C16*D16)+(B17*C17*D17)+(B20*C20*D20)+(B21*C21*D21)+(B22*C22*D22)+(B23*C23*D23)+(B24*C24*D24)+(B25*C25*D25)+(B26*C26*D26)+(B27*C27*D27)+(B28*C28*D18)</f>
        <v>0</v>
      </c>
    </row>
    <row r="32" spans="1:6" x14ac:dyDescent="0.25">
      <c r="A32" s="5" t="s">
        <v>145</v>
      </c>
      <c r="B32" s="77">
        <f>SUM(F4:F28)</f>
        <v>0</v>
      </c>
    </row>
  </sheetData>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Notes to read</vt:lpstr>
      <vt:lpstr>Summary</vt:lpstr>
      <vt:lpstr>Sheet1</vt:lpstr>
      <vt:lpstr>Basic Farm Data</vt:lpstr>
      <vt:lpstr>Winter Crop Costs</vt:lpstr>
      <vt:lpstr>Tractor Costs</vt:lpstr>
      <vt:lpstr>Bought In Feed Costs</vt:lpstr>
      <vt:lpstr>Own Conservation</vt:lpstr>
      <vt:lpstr>Capital Improvements</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Graham</dc:creator>
  <cp:lastModifiedBy>MoffatI</cp:lastModifiedBy>
  <cp:lastPrinted>2017-08-08T20:14:42Z</cp:lastPrinted>
  <dcterms:created xsi:type="dcterms:W3CDTF">2017-03-17T00:41:26Z</dcterms:created>
  <dcterms:modified xsi:type="dcterms:W3CDTF">2018-12-16T21:53:44Z</dcterms:modified>
</cp:coreProperties>
</file>